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autoCompressPictures="0" defaultThemeVersion="124226"/>
  <mc:AlternateContent xmlns:mc="http://schemas.openxmlformats.org/markup-compatibility/2006">
    <mc:Choice Requires="x15">
      <x15ac:absPath xmlns:x15ac="http://schemas.microsoft.com/office/spreadsheetml/2010/11/ac" url="C:\Users\M-case\Dropbox\Gedeelde bestanden M-case\Configurator\"/>
    </mc:Choice>
  </mc:AlternateContent>
  <bookViews>
    <workbookView showHorizontalScroll="0" showSheetTabs="0" xWindow="-30" yWindow="0" windowWidth="23550" windowHeight="10290"/>
  </bookViews>
  <sheets>
    <sheet name="Standaard" sheetId="1" r:id="rId1"/>
    <sheet name="Formules" sheetId="2" state="hidden" r:id="rId2"/>
    <sheet name="Tekening" sheetId="8" state="hidden" r:id="rId3"/>
  </sheets>
  <externalReferences>
    <externalReference r:id="rId4"/>
  </externalReferences>
  <definedNames>
    <definedName name="KeuzeHoekHeavyDuty">Formules!$BX$65:$BX$69</definedName>
    <definedName name="KeuzeHoekStandaard">Formules!$BK$65:$BK$69</definedName>
    <definedName name="KeuzePlaatmateriaal">Formules!$BD$43:$BD$44</definedName>
    <definedName name="KeuzeSluitingHeavyDuty">Formules!$BX$50:$BX$51</definedName>
    <definedName name="KeuzeSluitingStandaard">Formules!$BK$50:$BK$51</definedName>
    <definedName name="MaximaleDekselhoogte">Formules!$BH$31</definedName>
    <definedName name="MinimaleDekselhoogte">Formules!$BH$30</definedName>
    <definedName name="Sluitingendb">#REF!</definedName>
    <definedName name="SoortDeksel">Formules!$BG$21:$BG$22</definedName>
  </definedNames>
  <calcPr calcId="152511"/>
  <customWorkbookViews>
    <customWorkbookView name="mcase - Persoonlijke weergave" guid="{1341C1BA-A516-4B24-9F86-4C451F91EE0F}" autoUpdate="1" mergeInterval="5" personalView="1" maximized="1" xWindow="-8" yWindow="-8" windowWidth="1936" windowHeight="1066" activeSheetId="1"/>
  </customWorkbookViews>
  <webPublishing vml="1" allowPng="1" targetScreenSize="1024x768" codePage="1252"/>
</workbook>
</file>

<file path=xl/calcChain.xml><?xml version="1.0" encoding="utf-8"?>
<calcChain xmlns="http://schemas.openxmlformats.org/spreadsheetml/2006/main">
  <c r="BR52" i="2" l="1"/>
  <c r="BK52" i="2" l="1"/>
  <c r="AA64" i="1" l="1"/>
  <c r="BX109" i="2" l="1"/>
  <c r="U23" i="8" l="1"/>
  <c r="X18" i="8"/>
  <c r="W15" i="8"/>
  <c r="L11" i="8"/>
  <c r="D11" i="8"/>
  <c r="M10" i="8"/>
  <c r="M7" i="8"/>
  <c r="E7" i="8"/>
  <c r="M6" i="8"/>
  <c r="E6" i="8"/>
  <c r="O5" i="8"/>
  <c r="G5" i="8"/>
  <c r="M3" i="8"/>
  <c r="L2" i="8"/>
  <c r="K2" i="8"/>
  <c r="D2" i="8"/>
  <c r="C2" i="8"/>
  <c r="CD135" i="2"/>
  <c r="CE129" i="2"/>
  <c r="CE128" i="2"/>
  <c r="BR128" i="2"/>
  <c r="BE128" i="2"/>
  <c r="CE127" i="2"/>
  <c r="BR127" i="2"/>
  <c r="BE127" i="2"/>
  <c r="BX116" i="2"/>
  <c r="BR109" i="2"/>
  <c r="BX108" i="2"/>
  <c r="BT108" i="2"/>
  <c r="BQ108" i="2"/>
  <c r="CJ106" i="2"/>
  <c r="CE106" i="2"/>
  <c r="BX105" i="2"/>
  <c r="BX104" i="2"/>
  <c r="BX96" i="2"/>
  <c r="BT96" i="2"/>
  <c r="CJ95" i="2"/>
  <c r="CG95" i="2"/>
  <c r="BE80" i="2"/>
  <c r="N4" i="8" s="1"/>
  <c r="AB77" i="2"/>
  <c r="Q77" i="2"/>
  <c r="E77" i="2"/>
  <c r="AB76" i="2"/>
  <c r="Q76" i="2"/>
  <c r="E76" i="2"/>
  <c r="AF75" i="2"/>
  <c r="AB75" i="2"/>
  <c r="Q75" i="2"/>
  <c r="E75" i="2"/>
  <c r="AB74" i="2"/>
  <c r="Q74" i="2"/>
  <c r="E74" i="2"/>
  <c r="CA70" i="2"/>
  <c r="BZ70" i="2"/>
  <c r="BY70" i="2"/>
  <c r="BY71" i="2" s="1"/>
  <c r="R58" i="1" s="1"/>
  <c r="BR134" i="2" s="1"/>
  <c r="BX70" i="2"/>
  <c r="BX71" i="2" s="1"/>
  <c r="BT70" i="2"/>
  <c r="BR70" i="2"/>
  <c r="BL70" i="2"/>
  <c r="BL71" i="2" s="1"/>
  <c r="F58" i="2" s="1"/>
  <c r="BK70" i="2"/>
  <c r="BG71" i="2" s="1"/>
  <c r="BG70" i="2"/>
  <c r="BE70" i="2"/>
  <c r="BX65" i="2"/>
  <c r="BK65" i="2"/>
  <c r="BX64" i="2"/>
  <c r="BK64" i="2"/>
  <c r="D56" i="1" s="1"/>
  <c r="BD132" i="2" s="1"/>
  <c r="AB62" i="2"/>
  <c r="BQ59" i="2"/>
  <c r="BD59" i="2"/>
  <c r="BQ58" i="2"/>
  <c r="BD58" i="2"/>
  <c r="BE61" i="2" s="1"/>
  <c r="R63" i="2" s="1"/>
  <c r="AC57" i="2"/>
  <c r="AC57" i="1" s="1"/>
  <c r="CE133" i="2" s="1"/>
  <c r="CG133" i="2" s="1"/>
  <c r="AB57" i="2"/>
  <c r="CE56" i="2"/>
  <c r="AC56" i="2"/>
  <c r="AB56" i="2"/>
  <c r="R56" i="2"/>
  <c r="R56" i="1" s="1"/>
  <c r="BR132" i="2" s="1"/>
  <c r="Q56" i="2"/>
  <c r="F56" i="2"/>
  <c r="BQ54" i="2"/>
  <c r="BD54" i="2"/>
  <c r="BQ53" i="2"/>
  <c r="BD53" i="2"/>
  <c r="CA52" i="2"/>
  <c r="BZ52" i="2"/>
  <c r="BX52" i="2"/>
  <c r="BT52" i="2"/>
  <c r="BN52" i="2"/>
  <c r="BM52" i="2"/>
  <c r="BG52" i="2"/>
  <c r="BE52" i="2"/>
  <c r="AB49" i="2"/>
  <c r="Q49" i="2"/>
  <c r="BK46" i="2"/>
  <c r="BJ46" i="2"/>
  <c r="BG46" i="2"/>
  <c r="BE46" i="2"/>
  <c r="BK109" i="2" s="1"/>
  <c r="AI46" i="2"/>
  <c r="BK44" i="2"/>
  <c r="CJ42" i="2" s="1"/>
  <c r="BK43" i="2"/>
  <c r="CG42" i="2"/>
  <c r="CE42" i="2"/>
  <c r="CH28" i="2" s="1"/>
  <c r="R18" i="8" s="1"/>
  <c r="BX42" i="2"/>
  <c r="BT42" i="2"/>
  <c r="Q42" i="2"/>
  <c r="E42" i="2"/>
  <c r="AI41" i="2"/>
  <c r="CJ37" i="2"/>
  <c r="CG37" i="2"/>
  <c r="BU29" i="2"/>
  <c r="BH29" i="2"/>
  <c r="S29" i="2"/>
  <c r="G29" i="2"/>
  <c r="D29" i="2"/>
  <c r="BU28" i="2"/>
  <c r="BR108" i="2" s="1"/>
  <c r="BU27" i="2"/>
  <c r="S27" i="2"/>
  <c r="G27" i="2"/>
  <c r="D27" i="2"/>
  <c r="BU26" i="2"/>
  <c r="G25" i="2"/>
  <c r="D25" i="2"/>
  <c r="CE23" i="2"/>
  <c r="BT23" i="2"/>
  <c r="BX55" i="2" s="1"/>
  <c r="BR23" i="2"/>
  <c r="BG23" i="2"/>
  <c r="BE23" i="2"/>
  <c r="D23" i="2"/>
  <c r="AD22" i="2"/>
  <c r="S22" i="2"/>
  <c r="G22" i="2"/>
  <c r="S10" i="2"/>
  <c r="S9" i="2"/>
  <c r="U37" i="2" s="1"/>
  <c r="S8" i="2"/>
  <c r="S7" i="2"/>
  <c r="S6" i="2"/>
  <c r="AA81" i="1"/>
  <c r="P81" i="1"/>
  <c r="D81" i="1"/>
  <c r="AA80" i="1"/>
  <c r="P80" i="1"/>
  <c r="D80" i="1"/>
  <c r="AA79" i="1"/>
  <c r="P79" i="1"/>
  <c r="D79" i="1"/>
  <c r="AA78" i="1"/>
  <c r="P78" i="1"/>
  <c r="D78" i="1"/>
  <c r="AA77" i="1"/>
  <c r="P77" i="1"/>
  <c r="D77" i="1"/>
  <c r="AA76" i="1"/>
  <c r="P76" i="1"/>
  <c r="D76" i="1"/>
  <c r="T72" i="1"/>
  <c r="R72" i="1"/>
  <c r="P72" i="1"/>
  <c r="H72" i="1"/>
  <c r="F72" i="1"/>
  <c r="D72" i="1"/>
  <c r="AA71" i="1"/>
  <c r="T71" i="1"/>
  <c r="R71" i="1"/>
  <c r="P71" i="1"/>
  <c r="H71" i="1"/>
  <c r="F71" i="1"/>
  <c r="D71" i="1"/>
  <c r="AE70" i="1"/>
  <c r="AC70" i="1"/>
  <c r="AA70" i="1"/>
  <c r="T70" i="1"/>
  <c r="R70" i="1"/>
  <c r="P70" i="1"/>
  <c r="H70" i="1"/>
  <c r="F70" i="1"/>
  <c r="D70" i="1"/>
  <c r="AF69" i="1"/>
  <c r="AF70" i="1" s="1"/>
  <c r="AE69" i="1"/>
  <c r="AD69" i="1"/>
  <c r="AC69" i="1"/>
  <c r="AA69" i="1"/>
  <c r="T69" i="1"/>
  <c r="S69" i="1"/>
  <c r="S71" i="1" s="1"/>
  <c r="R69" i="1"/>
  <c r="P69" i="1"/>
  <c r="H69" i="1"/>
  <c r="G69" i="1"/>
  <c r="G71" i="1" s="1"/>
  <c r="F69" i="1"/>
  <c r="D69" i="1"/>
  <c r="AE68" i="1"/>
  <c r="AD68" i="1"/>
  <c r="AD70" i="1" s="1"/>
  <c r="AC68" i="1"/>
  <c r="AA68" i="1"/>
  <c r="T68" i="1"/>
  <c r="S68" i="1"/>
  <c r="S70" i="1" s="1"/>
  <c r="R68" i="1"/>
  <c r="P68" i="1"/>
  <c r="H68" i="1"/>
  <c r="G68" i="1"/>
  <c r="G70" i="1" s="1"/>
  <c r="F68" i="1"/>
  <c r="D68" i="1"/>
  <c r="AF67" i="1"/>
  <c r="AD67" i="1"/>
  <c r="AC67" i="1"/>
  <c r="AA67" i="1"/>
  <c r="U67" i="1"/>
  <c r="S67" i="1"/>
  <c r="R67" i="1"/>
  <c r="P67" i="1"/>
  <c r="I67" i="1"/>
  <c r="G67" i="1"/>
  <c r="F67" i="1"/>
  <c r="D67" i="1"/>
  <c r="AA62" i="1"/>
  <c r="AA57" i="1"/>
  <c r="CD133" i="2" s="1"/>
  <c r="AC56" i="1"/>
  <c r="CE132" i="2" s="1"/>
  <c r="CG132" i="2" s="1"/>
  <c r="AA56" i="1"/>
  <c r="CD132" i="2" s="1"/>
  <c r="P56" i="1"/>
  <c r="BQ132" i="2" s="1"/>
  <c r="F56" i="1"/>
  <c r="BE132" i="2" s="1"/>
  <c r="BJ132" i="2" s="1"/>
  <c r="AA49" i="1"/>
  <c r="P49" i="1"/>
  <c r="P42" i="1"/>
  <c r="D42" i="1"/>
  <c r="S29" i="1"/>
  <c r="G29" i="1"/>
  <c r="S27" i="1"/>
  <c r="G27" i="1"/>
  <c r="G25" i="1"/>
  <c r="AD22" i="1"/>
  <c r="S22" i="1"/>
  <c r="G22" i="1"/>
  <c r="T10" i="1"/>
  <c r="CA55" i="2" l="1"/>
  <c r="BK55" i="2"/>
  <c r="BK61" i="2"/>
  <c r="E56" i="2"/>
  <c r="CH26" i="2"/>
  <c r="CH27" i="2"/>
  <c r="AB34" i="2"/>
  <c r="V22" i="8"/>
  <c r="AB70" i="2"/>
  <c r="CK49" i="2"/>
  <c r="CJ56" i="2"/>
  <c r="BX111" i="2"/>
  <c r="BR123" i="2"/>
  <c r="U69" i="1" s="1"/>
  <c r="U70" i="1" s="1"/>
  <c r="BR111" i="2"/>
  <c r="CG117" i="2"/>
  <c r="Z31" i="2" s="1"/>
  <c r="AB42" i="2"/>
  <c r="AA34" i="1"/>
  <c r="Q34" i="2"/>
  <c r="BG61" i="2"/>
  <c r="D57" i="1"/>
  <c r="BD133" i="2" s="1"/>
  <c r="E34" i="2"/>
  <c r="P34" i="1"/>
  <c r="AA42" i="1"/>
  <c r="BR60" i="2"/>
  <c r="R62" i="1" s="1"/>
  <c r="BM70" i="2"/>
  <c r="P23" i="1"/>
  <c r="BX61" i="2" s="1"/>
  <c r="P23" i="2"/>
  <c r="Q62" i="2"/>
  <c r="BZ55" i="2"/>
  <c r="D34" i="1"/>
  <c r="E3" i="8"/>
  <c r="BE109" i="2"/>
  <c r="BH26" i="2"/>
  <c r="AB11" i="1" s="1"/>
  <c r="BH27" i="2"/>
  <c r="D62" i="1"/>
  <c r="BD136" i="2" s="1"/>
  <c r="BV132" i="2"/>
  <c r="BT132" i="2"/>
  <c r="CG56" i="2"/>
  <c r="BG132" i="2"/>
  <c r="P62" i="1"/>
  <c r="BQ136" i="2" s="1"/>
  <c r="E62" i="2"/>
  <c r="BT71" i="2"/>
  <c r="P58" i="1" s="1"/>
  <c r="BQ134" i="2" s="1"/>
  <c r="Q57" i="2"/>
  <c r="BX50" i="2"/>
  <c r="K7" i="8"/>
  <c r="M4" i="8"/>
  <c r="U37" i="1"/>
  <c r="BR120" i="2" s="1"/>
  <c r="S46" i="2" s="1"/>
  <c r="S46" i="1" s="1"/>
  <c r="U38" i="2"/>
  <c r="U38" i="1" s="1"/>
  <c r="R57" i="1"/>
  <c r="BR133" i="2" s="1"/>
  <c r="BT133" i="2" s="1"/>
  <c r="R57" i="2"/>
  <c r="BM55" i="2"/>
  <c r="BN55" i="2"/>
  <c r="F63" i="1"/>
  <c r="BE137" i="2" s="1"/>
  <c r="BG137" i="2" s="1"/>
  <c r="BK47" i="2"/>
  <c r="E10" i="8"/>
  <c r="BG47" i="2"/>
  <c r="BH28" i="2"/>
  <c r="C7" i="8" s="1"/>
  <c r="DB33" i="2"/>
  <c r="BJ47" i="2"/>
  <c r="F57" i="1"/>
  <c r="BE133" i="2" s="1"/>
  <c r="F58" i="1"/>
  <c r="BE134" i="2" s="1"/>
  <c r="E57" i="2"/>
  <c r="BX51" i="2"/>
  <c r="BX67" i="2"/>
  <c r="F63" i="2"/>
  <c r="BG55" i="2"/>
  <c r="BT55" i="2"/>
  <c r="BR61" i="2"/>
  <c r="R63" i="1" s="1"/>
  <c r="BX69" i="2"/>
  <c r="G66" i="2"/>
  <c r="G37" i="2"/>
  <c r="G39" i="2" s="1"/>
  <c r="G39" i="1" s="1"/>
  <c r="F57" i="2"/>
  <c r="G67" i="2"/>
  <c r="G71" i="2" s="1"/>
  <c r="AB66" i="2"/>
  <c r="AB67" i="2"/>
  <c r="F68" i="2"/>
  <c r="E69" i="2"/>
  <c r="Q70" i="2"/>
  <c r="BJ80" i="2"/>
  <c r="T10" i="2"/>
  <c r="AD66" i="2"/>
  <c r="AD67" i="2"/>
  <c r="AD69" i="2" s="1"/>
  <c r="S68" i="2"/>
  <c r="S70" i="2" s="1"/>
  <c r="R69" i="2"/>
  <c r="F4" i="8"/>
  <c r="U39" i="2"/>
  <c r="M8" i="8" s="1"/>
  <c r="Q71" i="2"/>
  <c r="AD37" i="2"/>
  <c r="AD37" i="1" s="1"/>
  <c r="CE121" i="2" s="1"/>
  <c r="E66" i="2"/>
  <c r="T69" i="2"/>
  <c r="J5" i="8"/>
  <c r="Q66" i="2"/>
  <c r="R67" i="2"/>
  <c r="H68" i="2"/>
  <c r="AC68" i="2"/>
  <c r="AB69" i="2"/>
  <c r="F70" i="2"/>
  <c r="F71" i="2"/>
  <c r="N9" i="8"/>
  <c r="G72" i="1"/>
  <c r="S72" i="1"/>
  <c r="R58" i="2"/>
  <c r="P57" i="1"/>
  <c r="BQ133" i="2" s="1"/>
  <c r="F9" i="8"/>
  <c r="T71" i="2"/>
  <c r="E71" i="2"/>
  <c r="R70" i="2"/>
  <c r="AC69" i="2"/>
  <c r="H69" i="2"/>
  <c r="AD68" i="2"/>
  <c r="T68" i="2"/>
  <c r="E68" i="2"/>
  <c r="AE67" i="2"/>
  <c r="Q67" i="2"/>
  <c r="F67" i="2"/>
  <c r="AF66" i="2"/>
  <c r="U66" i="2"/>
  <c r="I66" i="2"/>
  <c r="AD39" i="2"/>
  <c r="S36" i="2"/>
  <c r="V19" i="8"/>
  <c r="R71" i="2"/>
  <c r="T70" i="2"/>
  <c r="E70" i="2"/>
  <c r="AE69" i="2"/>
  <c r="Q69" i="2"/>
  <c r="F69" i="2"/>
  <c r="AF68" i="2"/>
  <c r="AF69" i="2" s="1"/>
  <c r="AB68" i="2"/>
  <c r="R68" i="2"/>
  <c r="G68" i="2"/>
  <c r="G70" i="2" s="1"/>
  <c r="AC67" i="2"/>
  <c r="S67" i="2"/>
  <c r="H67" i="2"/>
  <c r="AC66" i="2"/>
  <c r="R66" i="2"/>
  <c r="F66" i="2"/>
  <c r="AD38" i="2"/>
  <c r="AF67" i="2" s="1"/>
  <c r="AF37" i="2"/>
  <c r="AF37" i="1" s="1"/>
  <c r="G36" i="2"/>
  <c r="BR106" i="2"/>
  <c r="BR107" i="2" s="1"/>
  <c r="BR104" i="2"/>
  <c r="BX68" i="2"/>
  <c r="BX66" i="2"/>
  <c r="BH31" i="2"/>
  <c r="S37" i="2"/>
  <c r="U67" i="2" s="1"/>
  <c r="AF38" i="2"/>
  <c r="S66" i="2"/>
  <c r="E67" i="2"/>
  <c r="T67" i="2"/>
  <c r="Q68" i="2"/>
  <c r="AE68" i="2"/>
  <c r="H70" i="2"/>
  <c r="H71" i="2"/>
  <c r="BG80" i="2"/>
  <c r="BH73" i="2"/>
  <c r="BK80" i="2"/>
  <c r="BE123" i="2"/>
  <c r="E63" i="2" l="1"/>
  <c r="CP38" i="2"/>
  <c r="CP39" i="2" s="1"/>
  <c r="CP35" i="2"/>
  <c r="CP36" i="2" s="1"/>
  <c r="CP32" i="2"/>
  <c r="U9" i="1"/>
  <c r="N5" i="8"/>
  <c r="U9" i="2"/>
  <c r="AA37" i="1"/>
  <c r="AC64" i="1"/>
  <c r="CG130" i="2"/>
  <c r="CE130" i="2"/>
  <c r="BR137" i="2"/>
  <c r="BT137" i="2" s="1"/>
  <c r="Z31" i="1"/>
  <c r="X5" i="1"/>
  <c r="BR136" i="2"/>
  <c r="BV136" i="2" s="1"/>
  <c r="U68" i="2"/>
  <c r="U69" i="2" s="1"/>
  <c r="U71" i="1"/>
  <c r="U72" i="1" s="1"/>
  <c r="BR110" i="2"/>
  <c r="CK52" i="2"/>
  <c r="CJ52" i="2" s="1"/>
  <c r="AA63" i="1" s="1"/>
  <c r="Q63" i="2"/>
  <c r="AB11" i="2"/>
  <c r="BE60" i="2"/>
  <c r="F62" i="1" s="1"/>
  <c r="BE136" i="2" s="1"/>
  <c r="BT61" i="2"/>
  <c r="BG133" i="2"/>
  <c r="AH8" i="2"/>
  <c r="AH8" i="1"/>
  <c r="BK67" i="2"/>
  <c r="BK66" i="2"/>
  <c r="BK69" i="2"/>
  <c r="Q58" i="2"/>
  <c r="BV133" i="2"/>
  <c r="BK111" i="2"/>
  <c r="BK50" i="2"/>
  <c r="B5" i="8"/>
  <c r="BE106" i="2"/>
  <c r="BE107" i="2" s="1"/>
  <c r="BK51" i="2"/>
  <c r="BE104" i="2"/>
  <c r="BK68" i="2"/>
  <c r="BK71" i="2" s="1"/>
  <c r="D58" i="1" s="1"/>
  <c r="BD134" i="2" s="1"/>
  <c r="BE111" i="2"/>
  <c r="X5" i="2"/>
  <c r="BE108" i="2"/>
  <c r="D63" i="1"/>
  <c r="BD137" i="2" s="1"/>
  <c r="BJ137" i="2"/>
  <c r="E4" i="8"/>
  <c r="BE120" i="2"/>
  <c r="I38" i="2"/>
  <c r="I37" i="2"/>
  <c r="E49" i="2"/>
  <c r="D49" i="1"/>
  <c r="I67" i="2"/>
  <c r="BJ133" i="2"/>
  <c r="I36" i="2"/>
  <c r="I36" i="1" s="1"/>
  <c r="G52" i="1" s="1"/>
  <c r="G37" i="1"/>
  <c r="I68" i="1" s="1"/>
  <c r="E65" i="2"/>
  <c r="CY34" i="2"/>
  <c r="P63" i="1"/>
  <c r="BQ137" i="2" s="1"/>
  <c r="G69" i="2"/>
  <c r="AB65" i="2"/>
  <c r="BR116" i="2"/>
  <c r="U39" i="1"/>
  <c r="BR121" i="2" s="1"/>
  <c r="U40" i="2"/>
  <c r="U40" i="1" s="1"/>
  <c r="I71" i="1"/>
  <c r="I69" i="1"/>
  <c r="BE110" i="2" s="1"/>
  <c r="AF38" i="1"/>
  <c r="CE119" i="2" s="1"/>
  <c r="AD46" i="2" s="1"/>
  <c r="AD46" i="1" s="1"/>
  <c r="CG129" i="2" s="1"/>
  <c r="AF39" i="2"/>
  <c r="AF39" i="1" s="1"/>
  <c r="U16" i="8"/>
  <c r="S39" i="2"/>
  <c r="S39" i="1" s="1"/>
  <c r="S37" i="1"/>
  <c r="U68" i="1" s="1"/>
  <c r="U36" i="2"/>
  <c r="S45" i="2"/>
  <c r="S45" i="1" s="1"/>
  <c r="BT128" i="2" s="1"/>
  <c r="CH142" i="2"/>
  <c r="CH143" i="2" s="1"/>
  <c r="S40" i="2"/>
  <c r="S40" i="1" s="1"/>
  <c r="S38" i="2"/>
  <c r="S51" i="2"/>
  <c r="S51" i="1" s="1"/>
  <c r="S36" i="1"/>
  <c r="CU33" i="2"/>
  <c r="G40" i="2"/>
  <c r="G40" i="1" s="1"/>
  <c r="G38" i="2"/>
  <c r="G38" i="1"/>
  <c r="S69" i="2"/>
  <c r="S71" i="2"/>
  <c r="AD44" i="2"/>
  <c r="AD44" i="1" s="1"/>
  <c r="CG127" i="2" s="1"/>
  <c r="AD36" i="2"/>
  <c r="AD39" i="1"/>
  <c r="U71" i="2"/>
  <c r="D66" i="1"/>
  <c r="Q65" i="2"/>
  <c r="P66" i="1"/>
  <c r="AA66" i="1"/>
  <c r="BZ71" i="2"/>
  <c r="BT134" i="2" s="1"/>
  <c r="CA71" i="2"/>
  <c r="BV134" i="2" s="1"/>
  <c r="AF36" i="2"/>
  <c r="AD38" i="1"/>
  <c r="AF68" i="1" s="1"/>
  <c r="I70" i="2"/>
  <c r="I71" i="2" s="1"/>
  <c r="I68" i="2"/>
  <c r="I69" i="2" s="1"/>
  <c r="U70" i="2"/>
  <c r="CK121" i="2"/>
  <c r="CI135" i="2" s="1"/>
  <c r="AF77" i="1" s="1"/>
  <c r="AD62" i="2"/>
  <c r="AD62" i="1" s="1"/>
  <c r="BV137" i="2" l="1"/>
  <c r="BV139" i="2" s="1"/>
  <c r="CP40" i="2"/>
  <c r="CP29" i="2"/>
  <c r="E58" i="2"/>
  <c r="BT136" i="2"/>
  <c r="N7" i="8"/>
  <c r="BR112" i="2"/>
  <c r="BT117" i="2" s="1"/>
  <c r="BE112" i="2"/>
  <c r="AC63" i="1"/>
  <c r="AC74" i="1" s="1"/>
  <c r="R62" i="2"/>
  <c r="F62" i="2"/>
  <c r="BN71" i="2"/>
  <c r="BJ134" i="2" s="1"/>
  <c r="BM71" i="2"/>
  <c r="BG134" i="2" s="1"/>
  <c r="I37" i="1"/>
  <c r="I38" i="1" s="1"/>
  <c r="I39" i="2"/>
  <c r="R46" i="2"/>
  <c r="CV36" i="2"/>
  <c r="F46" i="2"/>
  <c r="F46" i="1" s="1"/>
  <c r="R46" i="1"/>
  <c r="S47" i="2"/>
  <c r="S47" i="1" s="1"/>
  <c r="G52" i="2"/>
  <c r="G45" i="2"/>
  <c r="G45" i="1"/>
  <c r="BG128" i="2" s="1"/>
  <c r="AE80" i="1"/>
  <c r="CH144" i="2"/>
  <c r="AF80" i="1" s="1"/>
  <c r="I70" i="1"/>
  <c r="F5" i="8"/>
  <c r="G36" i="1"/>
  <c r="G51" i="1" s="1"/>
  <c r="G51" i="2"/>
  <c r="I72" i="1"/>
  <c r="F7" i="8"/>
  <c r="S44" i="2"/>
  <c r="S44" i="1" s="1"/>
  <c r="BT127" i="2" s="1"/>
  <c r="S38" i="1"/>
  <c r="BJ136" i="2"/>
  <c r="BG136" i="2"/>
  <c r="U36" i="1"/>
  <c r="S52" i="2"/>
  <c r="S52" i="1" s="1"/>
  <c r="AD51" i="2"/>
  <c r="AD51" i="1" s="1"/>
  <c r="AD36" i="1"/>
  <c r="AD52" i="2"/>
  <c r="AD52" i="1" s="1"/>
  <c r="AD45" i="2"/>
  <c r="AD45" i="1" s="1"/>
  <c r="CG128" i="2" s="1"/>
  <c r="CG139" i="2" s="1"/>
  <c r="AF36" i="1"/>
  <c r="G44" i="2"/>
  <c r="G44" i="1"/>
  <c r="BG127" i="2" s="1"/>
  <c r="BH142" i="2"/>
  <c r="BH143" i="2" s="1"/>
  <c r="O31" i="1" l="1"/>
  <c r="O31" i="2"/>
  <c r="BJ139" i="2"/>
  <c r="I77" i="1" s="1"/>
  <c r="G46" i="1"/>
  <c r="BG129" i="2" s="1"/>
  <c r="G46" i="2"/>
  <c r="BR129" i="2"/>
  <c r="BT129" i="2"/>
  <c r="BE116" i="2"/>
  <c r="BG117" i="2" s="1"/>
  <c r="E8" i="8"/>
  <c r="I40" i="2"/>
  <c r="BE121" i="2"/>
  <c r="I39" i="1"/>
  <c r="I40" i="1" s="1"/>
  <c r="BE129" i="2"/>
  <c r="BH144" i="2"/>
  <c r="I80" i="1" s="1"/>
  <c r="U80" i="1" s="1"/>
  <c r="H80" i="1"/>
  <c r="T80" i="1" s="1"/>
  <c r="AF74" i="2"/>
  <c r="AF76" i="1"/>
  <c r="U75" i="2" l="1"/>
  <c r="I75" i="2"/>
  <c r="U77" i="1"/>
  <c r="F47" i="2"/>
  <c r="F47" i="1" s="1"/>
  <c r="DA37" i="2"/>
  <c r="R47" i="2"/>
  <c r="R47" i="1"/>
  <c r="C31" i="2"/>
  <c r="C31" i="1"/>
  <c r="BE130" i="2" l="1"/>
  <c r="F74" i="1"/>
  <c r="R74" i="1"/>
  <c r="BR130" i="2"/>
  <c r="BT130" i="2"/>
  <c r="BT139" i="2" s="1"/>
  <c r="G47" i="1"/>
  <c r="BG130" i="2" s="1"/>
  <c r="BG139" i="2" s="1"/>
  <c r="G47" i="2"/>
  <c r="U74" i="2" l="1"/>
  <c r="I76" i="1"/>
  <c r="U76" i="1"/>
  <c r="I74" i="2"/>
  <c r="CP27" i="2"/>
  <c r="CP25" i="2"/>
  <c r="CP26" i="2"/>
  <c r="CV26" i="2" l="1"/>
  <c r="DB26" i="2"/>
  <c r="DP26" i="2"/>
  <c r="CW26" i="2"/>
  <c r="DD26" i="2"/>
  <c r="DF26" i="2"/>
  <c r="DK26" i="2"/>
  <c r="CR26" i="2"/>
  <c r="CS26" i="2"/>
  <c r="DI26" i="2"/>
  <c r="DO26" i="2"/>
  <c r="DR26" i="2"/>
  <c r="DC26" i="2"/>
  <c r="DM26" i="2"/>
  <c r="CU26" i="2"/>
  <c r="DE26" i="2"/>
  <c r="DL26" i="2"/>
  <c r="CY26" i="2"/>
  <c r="DQ26" i="2"/>
  <c r="DH26" i="2"/>
  <c r="CQ26" i="2"/>
  <c r="DN26" i="2"/>
  <c r="DS26" i="2"/>
  <c r="DA26" i="2"/>
  <c r="CX26" i="2"/>
  <c r="CZ26" i="2"/>
  <c r="DJ26" i="2"/>
  <c r="DG26" i="2"/>
  <c r="CT26" i="2"/>
  <c r="CY25" i="2"/>
  <c r="CZ25" i="2"/>
  <c r="DI25" i="2"/>
  <c r="DJ25" i="2"/>
  <c r="DC25" i="2"/>
  <c r="DF25" i="2"/>
  <c r="DL25" i="2"/>
  <c r="CW25" i="2"/>
  <c r="DO25" i="2"/>
  <c r="CT25" i="2"/>
  <c r="DE25" i="2"/>
  <c r="DS25" i="2"/>
  <c r="DH25" i="2"/>
  <c r="CU25" i="2"/>
  <c r="DQ25" i="2"/>
  <c r="DD25" i="2"/>
  <c r="DG25" i="2"/>
  <c r="CS25" i="2"/>
  <c r="DR25" i="2"/>
  <c r="CQ25" i="2"/>
  <c r="DM25" i="2"/>
  <c r="CV25" i="2"/>
  <c r="DA25" i="2"/>
  <c r="CR25" i="2"/>
  <c r="DB25" i="2"/>
  <c r="DP25" i="2"/>
  <c r="DN25" i="2"/>
  <c r="DK25" i="2"/>
  <c r="CX25" i="2"/>
  <c r="DE27" i="2"/>
  <c r="DF27" i="2"/>
  <c r="CZ27" i="2"/>
  <c r="CT27" i="2"/>
  <c r="CS27" i="2"/>
  <c r="DN27" i="2"/>
  <c r="CV27" i="2"/>
  <c r="DL27" i="2"/>
  <c r="DR27" i="2"/>
  <c r="CY27" i="2"/>
  <c r="DS27" i="2"/>
  <c r="DP27" i="2"/>
  <c r="DG27" i="2"/>
  <c r="DI27" i="2"/>
  <c r="CU27" i="2"/>
  <c r="DK27" i="2"/>
  <c r="CX27" i="2"/>
  <c r="DA27" i="2"/>
  <c r="DM27" i="2"/>
  <c r="DQ27" i="2"/>
  <c r="CQ27" i="2"/>
  <c r="CR27" i="2"/>
  <c r="DO27" i="2"/>
  <c r="DD27" i="2"/>
  <c r="DC27" i="2"/>
  <c r="CW27" i="2"/>
  <c r="DJ27" i="2"/>
  <c r="DH27" i="2"/>
  <c r="DB27" i="2"/>
  <c r="CP23" i="2"/>
  <c r="CP24" i="2"/>
  <c r="CQ24" i="2" l="1"/>
  <c r="DQ24" i="2"/>
  <c r="CX24" i="2"/>
  <c r="CZ24" i="2"/>
  <c r="DA24" i="2"/>
  <c r="DC24" i="2"/>
  <c r="DS24" i="2"/>
  <c r="DI24" i="2"/>
  <c r="CV24" i="2"/>
  <c r="DL24" i="2"/>
  <c r="CS24" i="2"/>
  <c r="DJ24" i="2"/>
  <c r="DG24" i="2"/>
  <c r="DP24" i="2"/>
  <c r="DR24" i="2"/>
  <c r="CY24" i="2"/>
  <c r="CT24" i="2"/>
  <c r="DK24" i="2"/>
  <c r="DM24" i="2"/>
  <c r="DH24" i="2"/>
  <c r="DN24" i="2"/>
  <c r="DE24" i="2"/>
  <c r="CU24" i="2"/>
  <c r="CR24" i="2"/>
  <c r="DD24" i="2"/>
  <c r="DF24" i="2"/>
  <c r="CW24" i="2"/>
  <c r="DB24" i="2"/>
  <c r="DO24" i="2"/>
  <c r="DC23" i="2"/>
  <c r="DS23" i="2"/>
  <c r="DQ23" i="2"/>
  <c r="DR23" i="2"/>
  <c r="DD23" i="2"/>
  <c r="CQ23" i="2"/>
  <c r="CX23" i="2"/>
  <c r="DM23" i="2"/>
  <c r="DI23" i="2"/>
  <c r="DE23" i="2"/>
  <c r="DA23" i="2"/>
  <c r="CS23" i="2"/>
  <c r="CW23" i="2"/>
  <c r="DP23" i="2"/>
  <c r="DO23" i="2"/>
  <c r="DL23" i="2"/>
  <c r="DK23" i="2"/>
  <c r="DH23" i="2"/>
  <c r="DG23" i="2"/>
  <c r="DJ23" i="2"/>
  <c r="DN23" i="2"/>
  <c r="DB23" i="2"/>
  <c r="DF23" i="2"/>
  <c r="CZ23" i="2"/>
  <c r="CY23" i="2"/>
  <c r="CV23" i="2"/>
  <c r="CU23" i="2"/>
  <c r="CR23" i="2"/>
  <c r="CT23" i="2"/>
  <c r="CS28" i="2" l="1"/>
</calcChain>
</file>

<file path=xl/comments1.xml><?xml version="1.0" encoding="utf-8"?>
<comments xmlns="http://schemas.openxmlformats.org/spreadsheetml/2006/main">
  <authors>
    <author>Raalte, E.E. van (Eduard)</author>
  </authors>
  <commentList>
    <comment ref="S9" authorId="0" shapeId="0">
      <text>
        <r>
          <rPr>
            <b/>
            <sz val="9"/>
            <color indexed="81"/>
            <rFont val="Tahoma"/>
            <family val="2"/>
          </rPr>
          <t xml:space="preserve">Zie ook de tekeningen helemaal onderaan. </t>
        </r>
      </text>
    </comment>
  </commentList>
</comments>
</file>

<file path=xl/sharedStrings.xml><?xml version="1.0" encoding="utf-8"?>
<sst xmlns="http://schemas.openxmlformats.org/spreadsheetml/2006/main" count="762" uniqueCount="319">
  <si>
    <t>Binnenmaten</t>
  </si>
  <si>
    <t>mm</t>
  </si>
  <si>
    <t>x</t>
  </si>
  <si>
    <t>Sluitprofiel</t>
  </si>
  <si>
    <t>Hoekprofiel</t>
  </si>
  <si>
    <t>breedte</t>
  </si>
  <si>
    <t>Hoekprofielen</t>
  </si>
  <si>
    <t>Lengte</t>
  </si>
  <si>
    <t>Breedte binnenmaat</t>
  </si>
  <si>
    <t>Sluitprofielen</t>
  </si>
  <si>
    <t>Hoeken</t>
  </si>
  <si>
    <t>Schuim</t>
  </si>
  <si>
    <t>Bodem</t>
  </si>
  <si>
    <t>Standaard</t>
  </si>
  <si>
    <t>Op maat gezaagd</t>
  </si>
  <si>
    <t>uiteinden sluitprofielen worden rond gefreesd</t>
  </si>
  <si>
    <t>Wat doet Mcase, wat moet de klant zelf doen</t>
  </si>
  <si>
    <t>Link naar popnageltang</t>
  </si>
  <si>
    <t>Breedte</t>
  </si>
  <si>
    <t>Dikte</t>
  </si>
  <si>
    <t>Openingsdiepte male</t>
  </si>
  <si>
    <t>Openingsdiepte female</t>
  </si>
  <si>
    <t>Materiaaldikte</t>
  </si>
  <si>
    <t>Platte hoek</t>
  </si>
  <si>
    <t>Overzethoek</t>
  </si>
  <si>
    <t>Hoogte</t>
  </si>
  <si>
    <t>Wat levert MCase</t>
  </si>
  <si>
    <t xml:space="preserve">Vertikaal </t>
  </si>
  <si>
    <t>Afmetingen invullen</t>
  </si>
  <si>
    <t>Onderdelenlijst</t>
  </si>
  <si>
    <t>Plaatmateriaal</t>
  </si>
  <si>
    <t>Omschrijving</t>
  </si>
  <si>
    <t>Aantal</t>
  </si>
  <si>
    <t>Suggesties voor verdere afwerking</t>
  </si>
  <si>
    <t>Waarom M-case</t>
  </si>
  <si>
    <t>a</t>
  </si>
  <si>
    <t>Service</t>
  </si>
  <si>
    <t>Korte levertijden</t>
  </si>
  <si>
    <t>Flightcase rekenhulp - stel een gedetailleerde onderdelenlijst op in no-time</t>
  </si>
  <si>
    <t>9 mm zwart betonplex</t>
  </si>
  <si>
    <t>Contact</t>
  </si>
  <si>
    <t>E. info@zelfbouwcase.nl</t>
  </si>
  <si>
    <t xml:space="preserve">Professioneel resultaat </t>
  </si>
  <si>
    <t>Keuze hoeken</t>
  </si>
  <si>
    <t>Waarden voor grafische weergave</t>
  </si>
  <si>
    <t>Grote balhoek</t>
  </si>
  <si>
    <t>Grote balhoek, stapelbaar</t>
  </si>
  <si>
    <t>Middelgrote balhoek</t>
  </si>
  <si>
    <t>dan naar deze hyperlink</t>
  </si>
  <si>
    <t>9mm betonplex</t>
  </si>
  <si>
    <t>opbouw</t>
  </si>
  <si>
    <t>Soort deksel</t>
  </si>
  <si>
    <t>Afneembare deksel</t>
  </si>
  <si>
    <t>Scharnieren en sluitingen</t>
  </si>
  <si>
    <t>Sluitingen</t>
  </si>
  <si>
    <t>anders</t>
  </si>
  <si>
    <t>http://www.zelfbouwcase.nl/gesorteerd-op-toepassing/standaard/sluitingen-en-scharnieren.html</t>
  </si>
  <si>
    <t>ruimte</t>
  </si>
  <si>
    <t>- in verstek (indien gewenst)</t>
  </si>
  <si>
    <t>- nauwkeurig gezaagd</t>
  </si>
  <si>
    <t>Wanneer</t>
  </si>
  <si>
    <t>Melding</t>
  </si>
  <si>
    <t>Deksel</t>
  </si>
  <si>
    <t>Profiel mid</t>
  </si>
  <si>
    <t>Profiel top</t>
  </si>
  <si>
    <t>Profiel ond</t>
  </si>
  <si>
    <t>Vertikaal deksel</t>
  </si>
  <si>
    <t>Gekozen plaatmateriaal</t>
  </si>
  <si>
    <t>Bijbehorend sluitprofiel</t>
  </si>
  <si>
    <t>Hoekprofiel 30*30*1,5mm</t>
  </si>
  <si>
    <t>Sluiting</t>
  </si>
  <si>
    <t>Buitenmaten</t>
  </si>
  <si>
    <t>hoogte</t>
  </si>
  <si>
    <t>Gekozen sluiting</t>
  </si>
  <si>
    <t>Hulp bij keuzes</t>
  </si>
  <si>
    <t>http://www.zelfbouwcase.nl/gesorteerd-op-toepassing/standaard/plaatmateriaal.html</t>
  </si>
  <si>
    <t>http://www.zelfbouwcase.nl/gesorteerd-op-toepassing/standaard/hoeken.html</t>
  </si>
  <si>
    <t>Hyperlink</t>
  </si>
  <si>
    <t>en lengte is kleiner dan</t>
  </si>
  <si>
    <t xml:space="preserve">dan aantal sluitingen </t>
  </si>
  <si>
    <t>Aantal sluitingen</t>
  </si>
  <si>
    <t>Aantal scharnieren</t>
  </si>
  <si>
    <t>Gekozen hoek</t>
  </si>
  <si>
    <t>Tekst</t>
  </si>
  <si>
    <t>Afbeelding wijkt af</t>
  </si>
  <si>
    <t>Als verhoudingen buiten grenzen vallen</t>
  </si>
  <si>
    <t>Opvulhoogte female</t>
  </si>
  <si>
    <t>Opvulhoogte male</t>
  </si>
  <si>
    <t>Minimale dekselhoogte</t>
  </si>
  <si>
    <t>Dekselhoogte correct</t>
  </si>
  <si>
    <t>Dekselhoogte niet correct</t>
  </si>
  <si>
    <t>Hoek is te groot voor deksel</t>
  </si>
  <si>
    <t>Sluiting is te groot voor deksel</t>
  </si>
  <si>
    <t>Let op: de netto binnenmaat valt iets kleiner uit door uitstekende inbouwsluitingen</t>
  </si>
  <si>
    <t>Info sluitingen</t>
  </si>
  <si>
    <t>Info hoeken</t>
  </si>
  <si>
    <t>9mm sluitprofiel</t>
  </si>
  <si>
    <t>10mm sluitprofiel</t>
  </si>
  <si>
    <t>Berekening verticale profielen</t>
  </si>
  <si>
    <t>""</t>
  </si>
  <si>
    <t>Geen schuim</t>
  </si>
  <si>
    <t>http://www.zelfbouwcase.nl/volledige-productgroepen/schuim/hardschuim/hardschuim-5-mm-dik.html</t>
  </si>
  <si>
    <t>http://www.zelfbouwcase.nl/volledige-productgroepen/schuim/hardschuim/hardschuim-10-mm-dik.html</t>
  </si>
  <si>
    <t>http://www.zelfbouwcase.nl/volledige-productgroepen/schuim/hardschuim/hardschuim-15-mm-dik.html</t>
  </si>
  <si>
    <t>http://www.zelfbouwcase.nl/volledige-productgroepen/schuim/hardschuim/hardschuim-20-mm-dik.html</t>
  </si>
  <si>
    <t>http://www.zelfbouwcase.nl/volledige-productgroepen/schuim/hardschuim/hardschuim-40-mm-dik.html</t>
  </si>
  <si>
    <t>Hardschuim 5mm</t>
  </si>
  <si>
    <t>Hardschuim 10mm</t>
  </si>
  <si>
    <t>Hardschuim 15mm</t>
  </si>
  <si>
    <t>Hardschuim 20mm</t>
  </si>
  <si>
    <t>Hardschuim 40mm</t>
  </si>
  <si>
    <t>Plaatmateriaal is …</t>
  </si>
  <si>
    <t>Tekst hyperlink</t>
  </si>
  <si>
    <t>Soort deksel is …</t>
  </si>
  <si>
    <t>Links suggesties voor afwerking</t>
  </si>
  <si>
    <t>Foutmeldingen en waarschuwingen</t>
  </si>
  <si>
    <t>Middelgrote sluitingen</t>
  </si>
  <si>
    <t xml:space="preserve">      Lengterichting</t>
  </si>
  <si>
    <t xml:space="preserve">      Breedterichting</t>
  </si>
  <si>
    <t xml:space="preserve">      Lengte</t>
  </si>
  <si>
    <t xml:space="preserve">      Breedte</t>
  </si>
  <si>
    <t xml:space="preserve">      Vertikaal deksel</t>
  </si>
  <si>
    <t xml:space="preserve">      Korte zijwand deksel</t>
  </si>
  <si>
    <t xml:space="preserve">      Lange zijwand deksel</t>
  </si>
  <si>
    <t xml:space="preserve">      Korte zijwand bodem</t>
  </si>
  <si>
    <t xml:space="preserve">      Lange zijwand bodem</t>
  </si>
  <si>
    <t># popn. 14</t>
  </si>
  <si>
    <t># popn. 11</t>
  </si>
  <si>
    <t>*Middelgr. balhoek, stapelb.</t>
  </si>
  <si>
    <t>http://www.zelfbouwcase.nl/volledige-productgroepen/hoeken/platte-hoeken/c7082z-platte-hoek-met-scherpe-hoek.html</t>
  </si>
  <si>
    <t xml:space="preserve"> Als dekselhoogte kleiner dan</t>
  </si>
  <si>
    <t>Waarschuwing als sluiting over hoekprofiel valt</t>
  </si>
  <si>
    <t>Waar / wanneer</t>
  </si>
  <si>
    <t>T.b.v. algemene controle dekselhoogte (bij na aanpassen hoogte case)</t>
  </si>
  <si>
    <t>T.b.v. controle invoer dekselhoogte</t>
  </si>
  <si>
    <t>Hoek is te groot tov deksel</t>
  </si>
  <si>
    <t>Berekening aantal popnagels</t>
  </si>
  <si>
    <t xml:space="preserve">      Vertikaal bodem</t>
  </si>
  <si>
    <t>Vertikaal bodem</t>
  </si>
  <si>
    <t>14mm</t>
  </si>
  <si>
    <t>11mm</t>
  </si>
  <si>
    <t>aantal</t>
  </si>
  <si>
    <t>http://www.zelfbouwcase.nl/volledige-productgroepen/hoeken/overzethoeken/b1121z-overzethoek-met-scherpe-hoek.html</t>
  </si>
  <si>
    <t>Heb je vragen over deze rekentool of wil je graag gericht advies voor jouw specifieke situatie?</t>
  </si>
  <si>
    <t>Geen probleem, Service wordt bij M-case bewust met een hoofdletter gespeld. Dat betekent dat je altijd terecht kunt met (kleine) vragen tot aan  een compleet uitgewerkt voorstel, toegesneden op wat voor toepassing dan ook.</t>
  </si>
  <si>
    <t>Bijzonder project? Voor ons het een sport om een passende oplossing te bedenken.</t>
  </si>
  <si>
    <t>http://www.zelfbouwcase.nl/volledige-productgroepen/bevestigingsmateriaal/popnagels.html</t>
  </si>
  <si>
    <t>Heavy duty</t>
  </si>
  <si>
    <t>Slam-lid</t>
  </si>
  <si>
    <t>Totaal excl. evt. handgrepen</t>
  </si>
  <si>
    <t xml:space="preserve">        inbouw sluitingen en scharnieren</t>
  </si>
  <si>
    <t>NB. Het aantal popnagels zijn berekend  o.b.v.</t>
  </si>
  <si>
    <t>De verhoudingen van de afbeelding wijken af</t>
  </si>
  <si>
    <t>De dekselhoogte is te klein of te groot</t>
  </si>
  <si>
    <t>Schuim &gt;=deksel</t>
  </si>
  <si>
    <t>Melding(en)</t>
  </si>
  <si>
    <t>Berekening gewicht</t>
  </si>
  <si>
    <t>Hoekprofiel 30*30*2,0mm</t>
  </si>
  <si>
    <t>http://www.zelfbouwcase.nl/volledige-productgroepen/aluminium-profielen/hoekprofiel/0105-30-30-2mm-hoekprofiel-gezaagd.html</t>
  </si>
  <si>
    <t>http://www.zelfbouwcase.nl/volledige-productgroepen/aluminium-profielen/sluitprofiel/0523-2mm-dik-sluitprofiel-10mm.html</t>
  </si>
  <si>
    <t>Overzethoek R5</t>
  </si>
  <si>
    <t>Platte hoek R5</t>
  </si>
  <si>
    <t>Grote balhoek R5</t>
  </si>
  <si>
    <t>Grote balhoek, stapelbaar R5</t>
  </si>
  <si>
    <t>http://www.zelfbouwcase.nl/volledige-productgroepen/aluminium-profielen/overige-profielen/0490-slamlidprofiel-9mm.html</t>
  </si>
  <si>
    <t xml:space="preserve">      Korte zijwand </t>
  </si>
  <si>
    <t xml:space="preserve">      Lange zijwand </t>
  </si>
  <si>
    <t xml:space="preserve">      Vertikaal</t>
  </si>
  <si>
    <t xml:space="preserve">      Bodem</t>
  </si>
  <si>
    <t xml:space="preserve">      Deksel</t>
  </si>
  <si>
    <t>http://www.zelfbouwcase.nl/volledige-productgroepen/sluitingen-en-scharnieren/scharnieren/smal-pianoscharnier-1mm-dik.html</t>
  </si>
  <si>
    <t>Pianoscharnier</t>
  </si>
  <si>
    <t>Smal pianoscharnier, 1mm</t>
  </si>
  <si>
    <t>Platte hoek, 49mm</t>
  </si>
  <si>
    <t>Platte hoek, Slam-lid</t>
  </si>
  <si>
    <r>
      <t xml:space="preserve">Dekselhoogte (buitenmaat) </t>
    </r>
    <r>
      <rPr>
        <sz val="11"/>
        <rFont val="Calibri"/>
        <family val="2"/>
        <scheme val="minor"/>
      </rPr>
      <t>(binnen)</t>
    </r>
  </si>
  <si>
    <t>Slam-lidprofiel 9mm</t>
  </si>
  <si>
    <t>Dekselplaat+FPL+Mpl+Bodemplaat=Hoogte+2xSchuim</t>
  </si>
  <si>
    <t>Bodemplaat=Hoogte+2xSchuim-Dekselplaat-FPL-Mpl</t>
  </si>
  <si>
    <t>Bodemplaat+Mpl+plaatdikte+profiel&gt;50</t>
  </si>
  <si>
    <t>50 +fpl+dekselplaat=hoogte +2xschuim+dikte+profiel</t>
  </si>
  <si>
    <t>Bodemplaat+Mpl+plaatdikte+profiel&gt;hoogte +2xschuim+dikte+profiel-fpl-dekselplaat</t>
  </si>
  <si>
    <t>Bodemplaat&gt;hoogte +2xschuim-fpl-Mpl-dekselplaat</t>
  </si>
  <si>
    <t>dekselplaat&gt;hoogte +2xschuim-fpl-Mpl-Bodemplaat</t>
  </si>
  <si>
    <t>profiel+plaatdikte+dekselplaat+FPL&lt;profiel+plaatdikte+FPL+hoogte +2xschuim+plaatdikte+profiel-fpl-50</t>
  </si>
  <si>
    <t>dekselplaat&lt;hoogte +2xschuim+dikte+plaatprofiel-fpl-50</t>
  </si>
  <si>
    <t>50=hoogte +2xschuim+plaatdikte+profiel-fpl-dekselplaat</t>
  </si>
  <si>
    <t>dekselhoogte&lt;hoogte +2xschuim+2xplaatdikte+2xprofiel-50</t>
  </si>
  <si>
    <t>Binnenhoogte deksel</t>
  </si>
  <si>
    <t>Schuimdikte</t>
  </si>
  <si>
    <t>9mm berken met 1mm HPL</t>
  </si>
  <si>
    <t xml:space="preserve">Sluiting te groot </t>
  </si>
  <si>
    <t>Specifieke keuzes voor deze case</t>
  </si>
  <si>
    <t>Info plaatmat.</t>
  </si>
  <si>
    <t>Het schuim is dikker dan de binnenkant vd bodem</t>
  </si>
  <si>
    <t>Schuim &gt;=bodem</t>
  </si>
  <si>
    <t xml:space="preserve">      Deksel en bodem</t>
  </si>
  <si>
    <t>10mm Sluitprofiel 2mm dik</t>
  </si>
  <si>
    <t>Gekozen schuim</t>
  </si>
  <si>
    <t>Dekselprofiel</t>
  </si>
  <si>
    <t>Scharnier en sluiting</t>
  </si>
  <si>
    <t>Slam-lidsluiting</t>
  </si>
  <si>
    <t>lengte</t>
  </si>
  <si>
    <t>Berekening pianoscharnier</t>
  </si>
  <si>
    <t>Deksel en bodem</t>
  </si>
  <si>
    <t>Korte zijwand bodem</t>
  </si>
  <si>
    <t>Lange zijwand bodem</t>
  </si>
  <si>
    <t xml:space="preserve">T. 085 489 0038 </t>
  </si>
  <si>
    <t>(ma.-vr. 9.00-17.00)</t>
  </si>
  <si>
    <t>Afneembaar deksel</t>
  </si>
  <si>
    <t>Scharnierend deksel</t>
  </si>
  <si>
    <t>Bodemhoogte te krap</t>
  </si>
  <si>
    <t>Als de zaagmaat vd bodem kleiner dan 60mm</t>
  </si>
  <si>
    <t>Maximale dekselhoogte</t>
  </si>
  <si>
    <t>http://www.zelfbouwcase.nl/configuratorcategorieen/standaard-hd-popnagels-5x14mm.html</t>
  </si>
  <si>
    <t>Popnagels 5x14mm  (aantal excl. handgrepen)</t>
  </si>
  <si>
    <t>Popnagels 5x11mm  (aantal excl. handgrepen)</t>
  </si>
  <si>
    <t>http://www.zelfbouwcase.nl/configuratorcategorieen/standaard-hd-handgrepen.html</t>
  </si>
  <si>
    <t>Handgrepen</t>
  </si>
  <si>
    <t xml:space="preserve">3214 VR Zuidland </t>
  </si>
  <si>
    <t>Goede ondersteuning</t>
  </si>
  <si>
    <t>- in verstek (indien nodig)</t>
  </si>
  <si>
    <t xml:space="preserve">Martijn Boerboom </t>
  </si>
  <si>
    <t xml:space="preserve">Raadsheerenhoek 3a </t>
  </si>
  <si>
    <t xml:space="preserve">(ma.-vr. 9.00-17.00) </t>
  </si>
  <si>
    <t xml:space="preserve">E. info@zelfbouwcase.nl </t>
  </si>
  <si>
    <t>http://www.zelfbouwcase.nl/volledige-productgroepen/lijm-en-verf/m6900-spuitbus-lijm-500ml.html</t>
  </si>
  <si>
    <t>Voetjes en wielen</t>
  </si>
  <si>
    <t>Berekening oppervlakte schuim ivm lijm</t>
  </si>
  <si>
    <t>Benodigde spuitbussen (1,5m2/bus)</t>
  </si>
  <si>
    <t>http://www.zelfbouwcase.nl/configuratorcategorieen/standaard-hd-voetjes-en-wielen.html?limit=all</t>
  </si>
  <si>
    <t xml:space="preserve">Voor een 19" rack heb je een extra deksel, een extra set sluitprofielen, overzethoeken en extra sluitingen nodig. De afmetingen zijn dan als volgt: 
Breedte: 505mm
Lengte:  44,5mm x aantal HE + 3mm
Hoogte wordt: 577 
Dekselhoogte: 80 </t>
  </si>
  <si>
    <t>profiel 1,5</t>
  </si>
  <si>
    <t>De hoeken zijn te groot voor de dekselhoogte</t>
  </si>
  <si>
    <t>De bodemhoogte is te klein voor een inbouwsluiting</t>
  </si>
  <si>
    <t>Platte hoeken</t>
  </si>
  <si>
    <t>De sluitingen zijn te groot voor het deksel of de bodem</t>
  </si>
  <si>
    <t>Middelgr. balhoek, stapelb.</t>
  </si>
  <si>
    <t>Middelgrote balhoek R5</t>
  </si>
  <si>
    <t>http://www.zelfbouwcase.nl/configuratorcategorieen/standaard-middelgrote-balhoek.html</t>
  </si>
  <si>
    <t>http://www.zelfbouwcase.nl/configuratorcategorieen/standaard-middelgrote-balhoek-stapelbaar.html</t>
  </si>
  <si>
    <t>http://www.zelfbouwcase.nl/configuratorcategorieen/standaard-grote-balhoek.html</t>
  </si>
  <si>
    <t>http://www.zelfbouwcase.nl/configuratorcategorieen/standaard-grote-balhoek-stapelbaar-1.html</t>
  </si>
  <si>
    <t>http://www.zelfbouwcase.nl/configuratorcategorieen/hd-middelgrote-balhoek.html</t>
  </si>
  <si>
    <t>Middelgr. balhoek, stapelb. R5</t>
  </si>
  <si>
    <t>http://www.zelfbouwcase.nl/configuratorcategorieen/hd-middelgrote-balhoek-stapelbaar.html</t>
  </si>
  <si>
    <t>http://www.zelfbouwcase.nl/configuratorcategorieen/hd-grote-balhoek-r5.html</t>
  </si>
  <si>
    <t>http://www.zelfbouwcase.nl/configuratorcategorieen/hd-grote-balhoek-r5-stapelbaar.html</t>
  </si>
  <si>
    <t>http://www.zelfbouwcase.nl/configuratorcategorieen/standaard-hd-grote-sluitingen.html</t>
  </si>
  <si>
    <t>http://www.zelfbouwcase.nl/0100-30-30-1-5mm-hoekprofiel-gezaagd.html</t>
  </si>
  <si>
    <t>http://www.zelfbouwcase.nl/0500-1-5mm-dik-sluitprofiel-9mm.html</t>
  </si>
  <si>
    <t>http://www.zelfbouwcase.nl/0522-1-5mm-dik-sluitprofiel-10mm.html</t>
  </si>
  <si>
    <t>http://www.zelfbouwcase.nl/zwart-betonplex-9-mm.html</t>
  </si>
  <si>
    <t>http://www.zelfbouwcase.nl/configuratorcategorieen/standaard-hd-middelgrote-sluitingen.html</t>
  </si>
  <si>
    <t>http://www.zelfbouwcase.nl/b1130z-overzethoek-met-r5-hoek.html</t>
  </si>
  <si>
    <t>http://www.zelfbouwcase.nl/c7079z-platte-hoek-met-r5-hoek.html</t>
  </si>
  <si>
    <t>http://www.zelfbouwcase.nl/c0675z-platte-hoek-49mm.html</t>
  </si>
  <si>
    <t>http://www.zelfbouwcase.nl/platte-hoek-slam-lid.html</t>
  </si>
  <si>
    <t>http://www.zelfbouwcase.nl/2470-slam-lidsluiting.html</t>
  </si>
  <si>
    <t>http://www.zelfbouwcase.nl/configuratorcategorieen/standaard-hd-popnagels-5x11mm.html</t>
  </si>
  <si>
    <t xml:space="preserve">                Heb je vragen over deze rekentool of wil je graag gericht advies voor jouw specifieke situatie?</t>
  </si>
  <si>
    <t>-prijs per cm/cm² (je betaalt</t>
  </si>
  <si>
    <t xml:space="preserve"> alleen wat je nodig hebt)</t>
  </si>
  <si>
    <t>Service wordt bij M-case bewust met een hoofdletter gespeld</t>
  </si>
  <si>
    <t xml:space="preserve">
Dat betekent dat je altijd terecht kunt met (kleine of grote) vragen tot aan een compleet uitgewerkt voorstel, toegesneden op jouw toepassing. 
Bijzonder project? Voor mij is het een sport om een passende oplossing te bedenken.</t>
  </si>
  <si>
    <t xml:space="preserve">M-case </t>
  </si>
  <si>
    <t>Middelgrote scharnieren</t>
  </si>
  <si>
    <t>Grote scharnieren</t>
  </si>
  <si>
    <t>http://www.zelfbouwcase.nl/configuratorcategorieen/standaard-hd-middelgrote-scharnieren.html</t>
  </si>
  <si>
    <t>http://www.zelfbouwcase.nl/configuratorcategorieen/standaard-hd-grote-scharnieren.html</t>
  </si>
  <si>
    <t>Gekozen scharnier</t>
  </si>
  <si>
    <t>Als stapelbaar, dan . . .</t>
  </si>
  <si>
    <t>NB. Het aantal popnagels is berekend  o.b.v. inbouw-</t>
  </si>
  <si>
    <t>Dekselpaneel</t>
  </si>
  <si>
    <t>http://www.zelfbouwcase.nl/volledige-productgroepen/plaatmateriaal/overig-plaatmateriaal-1/dekselpaneel-voor-slam-lidcases.html</t>
  </si>
  <si>
    <t>http://www.zelfbouwcase.nl/volledige-productgroepen/plaatmateriaal/overig-plaatmateriaal-1/dekselpaneel-voor-slam-lidcases-met-2-sluitingen.html</t>
  </si>
  <si>
    <t xml:space="preserve">     </t>
  </si>
  <si>
    <t>Popnageltang</t>
  </si>
  <si>
    <t>http://www.zelfbouwcase.nl/volledige-productgroepen/gereedschap.html</t>
  </si>
  <si>
    <t>Afgerond naar boven (vanaf 1,05)</t>
  </si>
  <si>
    <t>(lengte-2x30mm  afgekapt op een veelvoud van 50,8cm - 2,4mm ivm zaagdikte</t>
  </si>
  <si>
    <t>aantal popnagels is (+ 2 extra)</t>
  </si>
  <si>
    <t>Schuim is</t>
  </si>
  <si>
    <t>http://www.zelfbouwcase.nl/volledige-productgroepen/sluitingen-en-scharnieren/opbouwdekselstoppers/p1236-banddekselstop-30cm-lang.html</t>
  </si>
  <si>
    <t>Lengterichting</t>
  </si>
  <si>
    <t>Breedterichting</t>
  </si>
  <si>
    <t>Korte zijwand deksel</t>
  </si>
  <si>
    <t>Lange zijwand deksel</t>
  </si>
  <si>
    <t xml:space="preserve">Korte zijwand </t>
  </si>
  <si>
    <t xml:space="preserve">Lange zijwand </t>
  </si>
  <si>
    <t>Vertikaal</t>
  </si>
  <si>
    <t xml:space="preserve">Flightcase rekenhulp - stel een gedetailleerde onderdelenlijst op in no-time        </t>
  </si>
  <si>
    <t xml:space="preserve"> sluitingen en -scharnieren, excl handgrepen en</t>
  </si>
  <si>
    <t xml:space="preserve"> 15cm tussenruimte bij de profielen</t>
  </si>
  <si>
    <t>NB. Het aantal popnagels is exclusief handgrepen en</t>
  </si>
  <si>
    <t xml:space="preserve"> o.b.v. 15cm tussenruimte bij de profielen</t>
  </si>
  <si>
    <t>Totaal items</t>
  </si>
  <si>
    <t xml:space="preserve">Totaal items </t>
  </si>
  <si>
    <r>
      <t>Spuitbus lijm 0,5l (</t>
    </r>
    <r>
      <rPr>
        <sz val="11"/>
        <color theme="1"/>
        <rFont val="Calibri"/>
        <family val="2"/>
      </rPr>
      <t>1,5m²/bus)</t>
    </r>
  </si>
  <si>
    <t>Schuimzijwand &lt;20mm deksel</t>
  </si>
  <si>
    <t>Schuimzijwand &lt;20mm bodem</t>
  </si>
  <si>
    <t xml:space="preserve">0&lt; Schuim in de zijwand vh deksel &lt;20mm </t>
  </si>
  <si>
    <t>0&lt;Schuim in de zijwand vd bodem &lt;20mm</t>
  </si>
  <si>
    <t>Het schuim in de zijwand vd bodem &lt; 20mm.</t>
  </si>
  <si>
    <t>Het schuim in de zijwand vh deksel &lt; 20mm.</t>
  </si>
  <si>
    <t>Het schuim is dikker dan de binnenkant vh deksel</t>
  </si>
  <si>
    <t>Sluiting deksel</t>
  </si>
  <si>
    <t>Deksel voor 1 sluiting</t>
  </si>
  <si>
    <t>Deksel voor 2 sluitingen</t>
  </si>
  <si>
    <t>Middelgrote sluitingen (±10x10cm)</t>
  </si>
  <si>
    <t>hoogte/breedte ratio</t>
  </si>
  <si>
    <t>Schaling lengte</t>
  </si>
  <si>
    <t>Hoogte schaling</t>
  </si>
  <si>
    <t>Lengte/breedte</t>
  </si>
  <si>
    <t>Lengte schaling</t>
  </si>
  <si>
    <t>Lengte is max 3x breedte</t>
  </si>
  <si>
    <t>Hoogte is max breedte*1,43</t>
  </si>
  <si>
    <t>http://www.zelfbouwcase.nl/configuratorcategorieen/standaard-hd-9-mm-berken-met-1-mm-hpl.html</t>
  </si>
  <si>
    <t>Grote sluitingen (±13x18cm)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</si>
</sst>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0"/>
  </numFmts>
  <fonts count="43" x14ac:knownFonts="1">
    <font>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theme="0" tint="-0.249977111117893"/>
      <name val="Calibri"/>
      <family val="2"/>
      <scheme val="minor"/>
    </font>
    <font>
      <sz val="11"/>
      <color theme="0" tint="-0.499984740745262"/>
      <name val="Calibri"/>
      <family val="2"/>
      <scheme val="minor"/>
    </font>
    <font>
      <sz val="11"/>
      <color theme="9"/>
      <name val="Calibri"/>
      <family val="2"/>
      <scheme val="minor"/>
    </font>
    <font>
      <sz val="8"/>
      <color rgb="FF73533C"/>
      <name val="Calibri"/>
      <family val="2"/>
      <scheme val="minor"/>
    </font>
    <font>
      <b/>
      <sz val="11"/>
      <color theme="1"/>
      <name val="Calibri"/>
      <family val="2"/>
      <scheme val="minor"/>
    </font>
    <font>
      <b/>
      <sz val="20"/>
      <color theme="0"/>
      <name val="Calibri"/>
      <family val="2"/>
      <scheme val="minor"/>
    </font>
    <font>
      <b/>
      <sz val="20"/>
      <color theme="1"/>
      <name val="Calibri"/>
      <family val="2"/>
      <scheme val="minor"/>
    </font>
    <font>
      <b/>
      <sz val="16"/>
      <color theme="1"/>
      <name val="Calibri"/>
      <family val="2"/>
      <scheme val="minor"/>
    </font>
    <font>
      <b/>
      <sz val="11"/>
      <name val="Calibri"/>
      <family val="2"/>
      <scheme val="minor"/>
    </font>
    <font>
      <sz val="11"/>
      <color rgb="FFF8901F"/>
      <name val="Webdings"/>
      <family val="1"/>
      <charset val="2"/>
    </font>
    <font>
      <b/>
      <sz val="9"/>
      <color indexed="81"/>
      <name val="Tahoma"/>
      <family val="2"/>
    </font>
    <font>
      <sz val="11"/>
      <color rgb="FFF8901F"/>
      <name val="Calibri"/>
      <family val="2"/>
      <scheme val="minor"/>
    </font>
    <font>
      <sz val="11"/>
      <color rgb="FFB08060"/>
      <name val="Calibri"/>
      <family val="2"/>
      <scheme val="minor"/>
    </font>
    <font>
      <sz val="11"/>
      <color rgb="FF00B050"/>
      <name val="Calibri"/>
      <family val="2"/>
      <scheme val="minor"/>
    </font>
    <font>
      <u/>
      <sz val="10"/>
      <color theme="10"/>
      <name val="Calibri"/>
      <family val="2"/>
      <scheme val="minor"/>
    </font>
    <font>
      <sz val="10"/>
      <color theme="1"/>
      <name val="Calibri"/>
      <family val="2"/>
      <scheme val="minor"/>
    </font>
    <font>
      <i/>
      <sz val="11"/>
      <color theme="1"/>
      <name val="Calibri"/>
      <family val="2"/>
      <scheme val="minor"/>
    </font>
    <font>
      <u/>
      <sz val="10.5"/>
      <color theme="10"/>
      <name val="Calibri"/>
      <family val="2"/>
      <scheme val="minor"/>
    </font>
    <font>
      <b/>
      <sz val="11"/>
      <color rgb="FFFF0000"/>
      <name val="Calibri"/>
      <family val="2"/>
      <scheme val="minor"/>
    </font>
    <font>
      <b/>
      <sz val="11"/>
      <color rgb="FFEA7E08"/>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11"/>
      <color theme="0"/>
      <name val="Calibri"/>
      <family val="2"/>
      <scheme val="minor"/>
    </font>
    <font>
      <b/>
      <sz val="9"/>
      <color theme="0"/>
      <name val="Calibri"/>
      <family val="2"/>
      <scheme val="minor"/>
    </font>
    <font>
      <sz val="7.5"/>
      <color theme="1"/>
      <name val="Calibri"/>
      <family val="2"/>
      <scheme val="minor"/>
    </font>
    <font>
      <sz val="11"/>
      <color theme="0" tint="-0.34998626667073579"/>
      <name val="Calibri"/>
      <family val="2"/>
      <scheme val="minor"/>
    </font>
    <font>
      <u/>
      <sz val="11"/>
      <color rgb="FF66CCFF"/>
      <name val="Calibri"/>
      <family val="2"/>
      <scheme val="minor"/>
    </font>
    <font>
      <b/>
      <u/>
      <sz val="11"/>
      <color rgb="FFDB7607"/>
      <name val="Calibri"/>
      <family val="2"/>
      <scheme val="minor"/>
    </font>
    <font>
      <b/>
      <sz val="11"/>
      <color rgb="FFDB7607"/>
      <name val="Calibri"/>
      <family val="2"/>
      <scheme val="minor"/>
    </font>
    <font>
      <sz val="7"/>
      <color theme="1"/>
      <name val="Calibri"/>
      <family val="2"/>
      <scheme val="minor"/>
    </font>
    <font>
      <b/>
      <sz val="12"/>
      <color theme="0"/>
      <name val="Calibri"/>
      <family val="2"/>
      <scheme val="minor"/>
    </font>
    <font>
      <b/>
      <sz val="11"/>
      <color rgb="FFDB7607"/>
      <name val="Webdings"/>
      <family val="1"/>
      <charset val="2"/>
    </font>
    <font>
      <b/>
      <sz val="14"/>
      <color rgb="FFDB7607"/>
      <name val="Calibri"/>
      <family val="2"/>
      <scheme val="minor"/>
    </font>
    <font>
      <b/>
      <sz val="20"/>
      <name val="Calibri"/>
      <family val="2"/>
      <scheme val="minor"/>
    </font>
    <font>
      <sz val="12"/>
      <color theme="0"/>
      <name val="Calibri"/>
      <family val="2"/>
      <scheme val="minor"/>
    </font>
    <font>
      <b/>
      <sz val="13"/>
      <color rgb="FFFF0000"/>
      <name val="Calibri"/>
      <family val="2"/>
      <scheme val="minor"/>
    </font>
    <font>
      <sz val="11"/>
      <color theme="1"/>
      <name val="Calibri"/>
      <family val="2"/>
    </font>
    <font>
      <b/>
      <sz val="11"/>
      <color rgb="FFFFFF66"/>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73533C"/>
        <bgColor indexed="64"/>
      </patternFill>
    </fill>
    <fill>
      <patternFill patternType="solid">
        <fgColor rgb="FFF8901F"/>
        <bgColor indexed="64"/>
      </patternFill>
    </fill>
    <fill>
      <patternFill patternType="solid">
        <fgColor rgb="FF7E5C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Horizontal">
        <fgColor rgb="FFDB7607"/>
        <bgColor theme="0"/>
      </patternFill>
    </fill>
    <fill>
      <patternFill patternType="lightVertical">
        <fgColor theme="9" tint="-0.24994659260841701"/>
        <bgColor theme="0"/>
      </patternFill>
    </fill>
    <fill>
      <patternFill patternType="lightVertical">
        <fgColor theme="9" tint="-0.24994659260841701"/>
        <bgColor auto="1"/>
      </patternFill>
    </fill>
    <fill>
      <patternFill patternType="solid">
        <fgColor theme="1" tint="0.249977111117893"/>
        <bgColor indexed="64"/>
      </patternFill>
    </fill>
    <fill>
      <patternFill patternType="solid">
        <fgColor rgb="FFE3C4A8"/>
        <bgColor indexed="64"/>
      </patternFill>
    </fill>
  </fills>
  <borders count="45">
    <border>
      <left/>
      <right/>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ck">
        <color theme="0"/>
      </left>
      <right/>
      <top style="thick">
        <color theme="0"/>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ck">
        <color theme="0"/>
      </bottom>
      <diagonal/>
    </border>
    <border>
      <left/>
      <right style="thick">
        <color indexed="64"/>
      </right>
      <top style="thick">
        <color indexed="64"/>
      </top>
      <bottom style="thick">
        <color indexed="64"/>
      </bottom>
      <diagonal/>
    </border>
    <border>
      <left/>
      <right style="medium">
        <color indexed="64"/>
      </right>
      <top style="thin">
        <color indexed="64"/>
      </top>
      <bottom/>
      <diagonal/>
    </border>
    <border>
      <left style="thick">
        <color theme="0"/>
      </left>
      <right style="thin">
        <color theme="0"/>
      </right>
      <top style="thick">
        <color theme="0"/>
      </top>
      <bottom style="thick">
        <color theme="0"/>
      </bottom>
      <diagonal/>
    </border>
    <border>
      <left/>
      <right/>
      <top style="thick">
        <color theme="0"/>
      </top>
      <bottom style="thick">
        <color theme="0"/>
      </bottom>
      <diagonal/>
    </border>
    <border>
      <left style="thin">
        <color theme="0"/>
      </left>
      <right/>
      <top style="thick">
        <color theme="0"/>
      </top>
      <bottom style="thick">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right/>
      <top style="thick">
        <color theme="0"/>
      </top>
      <bottom/>
      <diagonal/>
    </border>
    <border>
      <left style="thin">
        <color rgb="FF73533C"/>
      </left>
      <right/>
      <top style="thin">
        <color rgb="FF73533C"/>
      </top>
      <bottom style="thin">
        <color rgb="FF73533C"/>
      </bottom>
      <diagonal/>
    </border>
    <border>
      <left/>
      <right/>
      <top style="thin">
        <color rgb="FF73533C"/>
      </top>
      <bottom style="thin">
        <color rgb="FF73533C"/>
      </bottom>
      <diagonal/>
    </border>
    <border>
      <left/>
      <right style="thin">
        <color rgb="FF73533C"/>
      </right>
      <top style="thin">
        <color rgb="FF73533C"/>
      </top>
      <bottom style="thin">
        <color rgb="FF73533C"/>
      </bottom>
      <diagonal/>
    </border>
  </borders>
  <cellStyleXfs count="2">
    <xf numFmtId="0" fontId="0" fillId="0" borderId="0"/>
    <xf numFmtId="0" fontId="3" fillId="0" borderId="0" applyNumberFormat="0" applyFill="0" applyBorder="0" applyAlignment="0" applyProtection="0"/>
  </cellStyleXfs>
  <cellXfs count="446">
    <xf numFmtId="0" fontId="0" fillId="0" borderId="0" xfId="0"/>
    <xf numFmtId="0" fontId="0" fillId="0" borderId="0" xfId="0" applyBorder="1"/>
    <xf numFmtId="0" fontId="0" fillId="0" borderId="0" xfId="0" applyBorder="1" applyAlignment="1">
      <alignment horizontal="center"/>
    </xf>
    <xf numFmtId="0" fontId="0" fillId="0" borderId="0" xfId="0" applyBorder="1" applyAlignment="1">
      <alignment horizontal="left"/>
    </xf>
    <xf numFmtId="1" fontId="0" fillId="0" borderId="0" xfId="0" applyNumberFormat="1" applyBorder="1"/>
    <xf numFmtId="0" fontId="3" fillId="0" borderId="0" xfId="1" applyBorder="1"/>
    <xf numFmtId="0" fontId="4" fillId="0" borderId="0" xfId="0" applyFont="1"/>
    <xf numFmtId="0" fontId="4" fillId="0" borderId="0" xfId="0" applyFont="1" applyBorder="1"/>
    <xf numFmtId="0" fontId="5" fillId="0" borderId="0" xfId="0" applyFont="1"/>
    <xf numFmtId="0" fontId="5" fillId="0" borderId="0" xfId="0" applyFont="1" applyBorder="1"/>
    <xf numFmtId="0" fontId="0" fillId="0" borderId="0" xfId="0" applyFill="1" applyBorder="1" applyProtection="1"/>
    <xf numFmtId="0" fontId="0" fillId="0" borderId="0" xfId="0" applyFill="1" applyBorder="1"/>
    <xf numFmtId="0" fontId="3" fillId="0" borderId="0" xfId="1" applyFill="1" applyBorder="1"/>
    <xf numFmtId="0" fontId="2" fillId="0" borderId="0" xfId="0" applyFont="1" applyFill="1" applyBorder="1"/>
    <xf numFmtId="0" fontId="0" fillId="0" borderId="0" xfId="0" applyFill="1"/>
    <xf numFmtId="0" fontId="0" fillId="4" borderId="0" xfId="0" applyFill="1"/>
    <xf numFmtId="0" fontId="5" fillId="4" borderId="0" xfId="0" applyFont="1" applyFill="1"/>
    <xf numFmtId="0" fontId="6" fillId="4" borderId="0" xfId="0" applyFont="1" applyFill="1" applyBorder="1"/>
    <xf numFmtId="0" fontId="1" fillId="4" borderId="0" xfId="0" applyFont="1" applyFill="1" applyBorder="1" applyProtection="1">
      <protection locked="0"/>
    </xf>
    <xf numFmtId="0" fontId="2" fillId="4" borderId="0" xfId="0" applyFont="1" applyFill="1"/>
    <xf numFmtId="0" fontId="0" fillId="3" borderId="0" xfId="0" applyFill="1"/>
    <xf numFmtId="0" fontId="5" fillId="3" borderId="0" xfId="0" applyFont="1" applyFill="1"/>
    <xf numFmtId="0" fontId="5" fillId="0" borderId="0" xfId="0" applyFont="1" applyFill="1" applyBorder="1"/>
    <xf numFmtId="0" fontId="2" fillId="0" borderId="0" xfId="0" applyFont="1" applyFill="1" applyBorder="1" applyProtection="1"/>
    <xf numFmtId="0" fontId="6" fillId="3" borderId="0" xfId="0" applyFont="1" applyFill="1" applyBorder="1"/>
    <xf numFmtId="0" fontId="1" fillId="4" borderId="0" xfId="0" applyFont="1" applyFill="1" applyBorder="1"/>
    <xf numFmtId="0" fontId="6" fillId="4" borderId="10" xfId="0" applyFont="1" applyFill="1" applyBorder="1"/>
    <xf numFmtId="0" fontId="6" fillId="4" borderId="11" xfId="0" applyFont="1" applyFill="1" applyBorder="1"/>
    <xf numFmtId="0" fontId="6" fillId="4" borderId="2" xfId="0" applyFont="1" applyFill="1" applyBorder="1"/>
    <xf numFmtId="0" fontId="6" fillId="4" borderId="4" xfId="0" applyFont="1" applyFill="1" applyBorder="1"/>
    <xf numFmtId="0" fontId="6" fillId="4" borderId="5" xfId="0" applyFont="1" applyFill="1" applyBorder="1"/>
    <xf numFmtId="0" fontId="0" fillId="0" borderId="0" xfId="0" applyBorder="1" applyAlignment="1"/>
    <xf numFmtId="0" fontId="0" fillId="0" borderId="0" xfId="0" applyBorder="1" applyAlignment="1"/>
    <xf numFmtId="0" fontId="0" fillId="0" borderId="0" xfId="0" applyAlignment="1">
      <alignment wrapText="1"/>
    </xf>
    <xf numFmtId="0" fontId="0" fillId="4" borderId="0" xfId="0" applyFill="1" applyBorder="1"/>
    <xf numFmtId="0" fontId="9" fillId="3" borderId="0" xfId="0" applyFont="1" applyFill="1"/>
    <xf numFmtId="0" fontId="0" fillId="3" borderId="0" xfId="0" applyFill="1" applyBorder="1"/>
    <xf numFmtId="0" fontId="0" fillId="6" borderId="0" xfId="0" applyFill="1" applyBorder="1"/>
    <xf numFmtId="0" fontId="0" fillId="5" borderId="0" xfId="0" applyFill="1" applyBorder="1"/>
    <xf numFmtId="0" fontId="0" fillId="5" borderId="12" xfId="0" applyFill="1" applyBorder="1"/>
    <xf numFmtId="0" fontId="12" fillId="3" borderId="0" xfId="0" applyFont="1" applyFill="1" applyBorder="1"/>
    <xf numFmtId="0" fontId="0" fillId="3" borderId="0" xfId="0" applyFill="1" applyBorder="1" applyProtection="1"/>
    <xf numFmtId="0" fontId="8" fillId="0" borderId="0" xfId="0" applyFont="1"/>
    <xf numFmtId="0" fontId="0" fillId="0" borderId="0" xfId="0" applyAlignment="1">
      <alignment horizontal="center"/>
    </xf>
    <xf numFmtId="0" fontId="0" fillId="4" borderId="0" xfId="0" applyFill="1" applyBorder="1" applyProtection="1"/>
    <xf numFmtId="0" fontId="0" fillId="4" borderId="0" xfId="0" applyFill="1" applyBorder="1" applyAlignment="1"/>
    <xf numFmtId="0" fontId="13" fillId="0" borderId="0" xfId="0" applyFont="1" applyFill="1" applyBorder="1"/>
    <xf numFmtId="0" fontId="8" fillId="0" borderId="0" xfId="0" applyFont="1" applyAlignment="1">
      <alignment horizontal="right"/>
    </xf>
    <xf numFmtId="0" fontId="0" fillId="0" borderId="0" xfId="0" applyBorder="1" applyAlignment="1">
      <alignment horizontal="right"/>
    </xf>
    <xf numFmtId="0" fontId="0" fillId="0" borderId="0" xfId="0" applyBorder="1" applyAlignment="1">
      <alignment horizontal="center"/>
    </xf>
    <xf numFmtId="0" fontId="0" fillId="0" borderId="0" xfId="0" applyFont="1" applyFill="1" applyBorder="1" applyAlignment="1" applyProtection="1">
      <alignment horizontal="center" vertical="top" wrapText="1"/>
    </xf>
    <xf numFmtId="0" fontId="0" fillId="0" borderId="0" xfId="0" quotePrefix="1" applyBorder="1"/>
    <xf numFmtId="0" fontId="0" fillId="0" borderId="0" xfId="0" quotePrefix="1" applyFill="1" applyBorder="1" applyProtection="1"/>
    <xf numFmtId="0" fontId="0" fillId="0" borderId="0" xfId="0" applyBorder="1" applyAlignment="1">
      <alignment horizontal="center"/>
    </xf>
    <xf numFmtId="0" fontId="2" fillId="0" borderId="0" xfId="0" applyFont="1" applyFill="1"/>
    <xf numFmtId="0" fontId="7" fillId="0" borderId="0" xfId="0" applyFont="1" applyFill="1" applyProtection="1">
      <protection hidden="1"/>
    </xf>
    <xf numFmtId="0" fontId="0" fillId="0" borderId="0" xfId="0" applyFill="1" applyProtection="1">
      <protection hidden="1"/>
    </xf>
    <xf numFmtId="0" fontId="12" fillId="0" borderId="0" xfId="0" applyFont="1" applyFill="1"/>
    <xf numFmtId="0" fontId="3" fillId="0" borderId="0" xfId="1"/>
    <xf numFmtId="0" fontId="6" fillId="4" borderId="0" xfId="0" applyFont="1" applyFill="1" applyBorder="1" applyAlignment="1">
      <alignment horizontal="right"/>
    </xf>
    <xf numFmtId="0" fontId="6" fillId="4" borderId="0" xfId="0" applyFont="1" applyFill="1" applyBorder="1" applyAlignment="1">
      <alignment horizontal="left"/>
    </xf>
    <xf numFmtId="0" fontId="0" fillId="4" borderId="9" xfId="0" applyFill="1" applyBorder="1"/>
    <xf numFmtId="0" fontId="0" fillId="4" borderId="1" xfId="0" applyFill="1" applyBorder="1"/>
    <xf numFmtId="0" fontId="1" fillId="4" borderId="0" xfId="0" applyFont="1" applyFill="1"/>
    <xf numFmtId="0" fontId="15" fillId="4" borderId="0" xfId="0" applyFont="1" applyFill="1" applyBorder="1"/>
    <xf numFmtId="0" fontId="12" fillId="3" borderId="6" xfId="0" applyFont="1" applyFill="1" applyBorder="1"/>
    <xf numFmtId="0" fontId="0" fillId="3" borderId="7" xfId="0" applyFill="1" applyBorder="1" applyProtection="1"/>
    <xf numFmtId="0" fontId="0" fillId="3" borderId="7" xfId="0" applyFill="1" applyBorder="1"/>
    <xf numFmtId="0" fontId="0" fillId="3" borderId="8" xfId="0" applyFill="1" applyBorder="1"/>
    <xf numFmtId="0" fontId="10" fillId="3" borderId="0" xfId="0" applyFont="1" applyFill="1"/>
    <xf numFmtId="0" fontId="11" fillId="3" borderId="0" xfId="0" applyFont="1" applyFill="1" applyBorder="1"/>
    <xf numFmtId="0" fontId="16" fillId="4" borderId="0" xfId="0" applyFont="1" applyFill="1" applyBorder="1"/>
    <xf numFmtId="0" fontId="16" fillId="5" borderId="0" xfId="0" applyFont="1" applyFill="1" applyBorder="1"/>
    <xf numFmtId="0" fontId="0" fillId="0" borderId="0" xfId="0" applyFont="1" applyFill="1" applyBorder="1" applyAlignment="1" applyProtection="1">
      <alignment horizontal="center" vertical="top" wrapText="1"/>
    </xf>
    <xf numFmtId="164" fontId="0" fillId="0" borderId="0" xfId="0" applyNumberFormat="1"/>
    <xf numFmtId="0" fontId="8" fillId="0" borderId="0" xfId="0" applyFont="1" applyBorder="1"/>
    <xf numFmtId="164" fontId="0" fillId="0" borderId="0" xfId="0" applyNumberFormat="1" applyFill="1" applyBorder="1"/>
    <xf numFmtId="0" fontId="17" fillId="4" borderId="0" xfId="0" applyFont="1" applyFill="1"/>
    <xf numFmtId="0" fontId="17" fillId="3" borderId="0" xfId="0" applyFont="1" applyFill="1"/>
    <xf numFmtId="0" fontId="17" fillId="0" borderId="0" xfId="0" applyFont="1" applyFill="1"/>
    <xf numFmtId="0" fontId="3" fillId="0" borderId="0" xfId="1" applyBorder="1" applyAlignment="1"/>
    <xf numFmtId="0" fontId="0" fillId="0" borderId="0" xfId="0" applyBorder="1" applyAlignment="1"/>
    <xf numFmtId="0" fontId="0" fillId="0" borderId="0" xfId="0" applyAlignment="1"/>
    <xf numFmtId="0" fontId="3" fillId="5" borderId="0" xfId="1" applyFill="1" applyBorder="1" applyAlignment="1"/>
    <xf numFmtId="0" fontId="0" fillId="5" borderId="0" xfId="0" applyFill="1" applyBorder="1" applyAlignment="1"/>
    <xf numFmtId="0" fontId="8" fillId="0" borderId="0" xfId="0" applyFont="1" applyBorder="1" applyAlignment="1">
      <alignment horizontal="center"/>
    </xf>
    <xf numFmtId="0" fontId="0" fillId="0" borderId="0" xfId="0" applyFont="1" applyFill="1" applyBorder="1" applyAlignment="1" applyProtection="1">
      <alignment horizontal="left" vertical="top"/>
    </xf>
    <xf numFmtId="0" fontId="0" fillId="2" borderId="0" xfId="0" applyFill="1"/>
    <xf numFmtId="0" fontId="15" fillId="4" borderId="0" xfId="0" applyFont="1" applyFill="1" applyAlignment="1">
      <alignment textRotation="90"/>
    </xf>
    <xf numFmtId="0" fontId="15" fillId="0" borderId="0" xfId="0" applyFont="1" applyAlignment="1">
      <alignment textRotation="90"/>
    </xf>
    <xf numFmtId="0" fontId="15" fillId="4" borderId="0" xfId="0" applyFont="1" applyFill="1" applyAlignment="1">
      <alignment textRotation="37"/>
    </xf>
    <xf numFmtId="0" fontId="3" fillId="4" borderId="0" xfId="1" applyFill="1" applyAlignment="1"/>
    <xf numFmtId="0" fontId="0" fillId="0" borderId="0" xfId="0" applyAlignment="1"/>
    <xf numFmtId="0" fontId="3" fillId="0" borderId="0" xfId="1" applyBorder="1" applyAlignment="1"/>
    <xf numFmtId="0" fontId="0" fillId="0" borderId="0" xfId="0" applyBorder="1" applyAlignment="1"/>
    <xf numFmtId="0" fontId="0" fillId="5" borderId="0" xfId="0" applyFill="1" applyBorder="1" applyAlignment="1"/>
    <xf numFmtId="0" fontId="11" fillId="0" borderId="0" xfId="0" applyFont="1" applyFill="1" applyAlignment="1">
      <alignment horizontal="center"/>
    </xf>
    <xf numFmtId="0" fontId="3" fillId="4" borderId="0" xfId="1" applyFill="1" applyBorder="1" applyAlignment="1">
      <alignment horizontal="right"/>
    </xf>
    <xf numFmtId="164" fontId="2" fillId="0" borderId="0" xfId="0" applyNumberFormat="1" applyFont="1" applyBorder="1" applyProtection="1">
      <protection hidden="1"/>
    </xf>
    <xf numFmtId="0" fontId="0" fillId="0" borderId="0" xfId="0" applyAlignment="1">
      <alignment horizontal="center"/>
    </xf>
    <xf numFmtId="0" fontId="3" fillId="4" borderId="0" xfId="1" applyFill="1" applyBorder="1" applyAlignment="1">
      <alignment horizontal="left"/>
    </xf>
    <xf numFmtId="0" fontId="8" fillId="0" borderId="13" xfId="0" applyFont="1" applyBorder="1"/>
    <xf numFmtId="0" fontId="0" fillId="0" borderId="14" xfId="0" applyBorder="1"/>
    <xf numFmtId="0" fontId="0" fillId="0" borderId="15" xfId="0" applyFill="1" applyBorder="1"/>
    <xf numFmtId="0" fontId="0" fillId="0" borderId="16" xfId="0" applyBorder="1"/>
    <xf numFmtId="0" fontId="0" fillId="0" borderId="17" xfId="0" applyFill="1" applyBorder="1" applyProtection="1"/>
    <xf numFmtId="0" fontId="0" fillId="0" borderId="18" xfId="0" applyBorder="1"/>
    <xf numFmtId="0" fontId="0" fillId="0" borderId="19" xfId="0" applyBorder="1"/>
    <xf numFmtId="0" fontId="0" fillId="0" borderId="20" xfId="0" applyFill="1" applyBorder="1"/>
    <xf numFmtId="0" fontId="8" fillId="0" borderId="21" xfId="0" applyFont="1" applyBorder="1"/>
    <xf numFmtId="0" fontId="0" fillId="0" borderId="22" xfId="0" applyBorder="1"/>
    <xf numFmtId="0" fontId="0" fillId="0" borderId="23" xfId="0" applyBorder="1"/>
    <xf numFmtId="0" fontId="3" fillId="0" borderId="15" xfId="1" applyFill="1" applyBorder="1"/>
    <xf numFmtId="164" fontId="0" fillId="0" borderId="17" xfId="0" applyNumberFormat="1" applyFill="1" applyBorder="1"/>
    <xf numFmtId="0" fontId="0" fillId="0" borderId="17" xfId="0" applyBorder="1"/>
    <xf numFmtId="0" fontId="2" fillId="0" borderId="20" xfId="0" applyFont="1" applyFill="1" applyBorder="1" applyProtection="1"/>
    <xf numFmtId="0" fontId="8" fillId="0" borderId="15" xfId="0" applyFont="1" applyBorder="1"/>
    <xf numFmtId="0" fontId="0" fillId="0" borderId="17" xfId="0" applyBorder="1" applyAlignment="1">
      <alignment horizontal="right"/>
    </xf>
    <xf numFmtId="0" fontId="0" fillId="0" borderId="20" xfId="0" applyBorder="1"/>
    <xf numFmtId="4" fontId="0" fillId="0" borderId="0" xfId="0" applyNumberFormat="1" applyBorder="1" applyAlignment="1"/>
    <xf numFmtId="0" fontId="0" fillId="0" borderId="0" xfId="0" applyFont="1" applyBorder="1"/>
    <xf numFmtId="0" fontId="3" fillId="0" borderId="0" xfId="1" applyFont="1" applyBorder="1"/>
    <xf numFmtId="0" fontId="8" fillId="5" borderId="0" xfId="0" applyFont="1" applyFill="1" applyBorder="1"/>
    <xf numFmtId="0" fontId="0" fillId="3" borderId="0" xfId="0" applyFill="1" applyBorder="1" applyAlignment="1"/>
    <xf numFmtId="0" fontId="0" fillId="3" borderId="0" xfId="0" applyFill="1" applyAlignment="1"/>
    <xf numFmtId="0" fontId="5" fillId="0" borderId="0" xfId="0" applyFont="1" applyFill="1" applyBorder="1" applyAlignment="1"/>
    <xf numFmtId="0" fontId="0" fillId="0" borderId="0" xfId="0" applyFont="1" applyFill="1" applyBorder="1" applyAlignment="1" applyProtection="1">
      <alignment horizontal="center" vertical="top" wrapText="1"/>
    </xf>
    <xf numFmtId="0" fontId="19" fillId="0" borderId="0" xfId="0" applyFont="1" applyAlignment="1"/>
    <xf numFmtId="0" fontId="0" fillId="0" borderId="0" xfId="0" applyBorder="1" applyAlignment="1"/>
    <xf numFmtId="0" fontId="20" fillId="0" borderId="0" xfId="0" applyFont="1" applyBorder="1"/>
    <xf numFmtId="0" fontId="0" fillId="0" borderId="0" xfId="0" applyFont="1"/>
    <xf numFmtId="0" fontId="21" fillId="0" borderId="0" xfId="1" applyFont="1" applyBorder="1" applyAlignment="1"/>
    <xf numFmtId="0" fontId="0" fillId="7" borderId="0" xfId="0" applyFill="1"/>
    <xf numFmtId="0" fontId="8" fillId="7" borderId="0" xfId="0" applyFont="1" applyFill="1"/>
    <xf numFmtId="0" fontId="0" fillId="7" borderId="0" xfId="0" applyFill="1" applyBorder="1"/>
    <xf numFmtId="0" fontId="8" fillId="5" borderId="0" xfId="0" applyFont="1" applyFill="1" applyBorder="1" applyAlignment="1">
      <alignment horizontal="right"/>
    </xf>
    <xf numFmtId="0" fontId="0" fillId="0" borderId="0" xfId="0" applyAlignment="1">
      <alignment horizontal="left"/>
    </xf>
    <xf numFmtId="0" fontId="0" fillId="0" borderId="0" xfId="0" applyFill="1" applyAlignment="1"/>
    <xf numFmtId="0" fontId="11" fillId="0" borderId="0" xfId="0" applyFont="1" applyFill="1" applyAlignment="1">
      <alignment horizontal="left"/>
    </xf>
    <xf numFmtId="0" fontId="0" fillId="0" borderId="0" xfId="0" applyFill="1" applyAlignment="1">
      <alignment horizontal="left"/>
    </xf>
    <xf numFmtId="0" fontId="23" fillId="0" borderId="0" xfId="0" applyFont="1" applyBorder="1"/>
    <xf numFmtId="0" fontId="23" fillId="0" borderId="0" xfId="0" applyFont="1"/>
    <xf numFmtId="0" fontId="16" fillId="4" borderId="0" xfId="0" applyFont="1" applyFill="1" applyBorder="1" applyAlignment="1">
      <alignment vertical="top"/>
    </xf>
    <xf numFmtId="164" fontId="0" fillId="0" borderId="0" xfId="0" applyNumberFormat="1" applyBorder="1" applyAlignment="1">
      <alignment horizontal="center"/>
    </xf>
    <xf numFmtId="164" fontId="0" fillId="5" borderId="0" xfId="0" applyNumberFormat="1" applyFill="1" applyBorder="1"/>
    <xf numFmtId="164" fontId="8" fillId="0" borderId="0" xfId="0" applyNumberFormat="1" applyFont="1"/>
    <xf numFmtId="164" fontId="0" fillId="0" borderId="0" xfId="0" applyNumberFormat="1" applyBorder="1"/>
    <xf numFmtId="164" fontId="0" fillId="0" borderId="0" xfId="0" applyNumberFormat="1" applyAlignment="1"/>
    <xf numFmtId="164" fontId="19" fillId="0" borderId="0" xfId="0" applyNumberFormat="1" applyFont="1" applyAlignment="1"/>
    <xf numFmtId="164" fontId="3" fillId="0" borderId="0" xfId="1" applyNumberFormat="1" applyBorder="1" applyAlignment="1"/>
    <xf numFmtId="164" fontId="8" fillId="0" borderId="0" xfId="0" applyNumberFormat="1" applyFont="1" applyAlignment="1">
      <alignment horizontal="right"/>
    </xf>
    <xf numFmtId="164" fontId="0" fillId="0" borderId="0" xfId="0" applyNumberFormat="1" applyFont="1"/>
    <xf numFmtId="0" fontId="0" fillId="0" borderId="0" xfId="0" applyFont="1" applyAlignment="1">
      <alignment horizontal="left"/>
    </xf>
    <xf numFmtId="0" fontId="8" fillId="0" borderId="0" xfId="0" applyFont="1" applyAlignment="1">
      <alignment vertical="top"/>
    </xf>
    <xf numFmtId="0" fontId="8" fillId="0" borderId="0" xfId="0" applyFont="1" applyAlignment="1">
      <alignment horizontal="left" vertical="top"/>
    </xf>
    <xf numFmtId="0" fontId="25" fillId="0" borderId="0" xfId="0" applyFont="1" applyFill="1" applyAlignment="1">
      <alignment horizontal="left"/>
    </xf>
    <xf numFmtId="0" fontId="3" fillId="0" borderId="0" xfId="1" applyBorder="1" applyAlignment="1"/>
    <xf numFmtId="1" fontId="0" fillId="0" borderId="0" xfId="0" applyNumberFormat="1" applyBorder="1" applyAlignment="1">
      <alignment horizontal="right"/>
    </xf>
    <xf numFmtId="4" fontId="0" fillId="0" borderId="0" xfId="0" applyNumberFormat="1" applyBorder="1"/>
    <xf numFmtId="0" fontId="8" fillId="0" borderId="0" xfId="0" applyFont="1" applyBorder="1" applyAlignment="1">
      <alignment horizontal="right"/>
    </xf>
    <xf numFmtId="0" fontId="0" fillId="0" borderId="0" xfId="0" applyFill="1" applyAlignment="1">
      <alignment wrapText="1"/>
    </xf>
    <xf numFmtId="0" fontId="2" fillId="0" borderId="0" xfId="0" applyFont="1" applyBorder="1" applyAlignment="1" applyProtection="1">
      <alignment horizontal="center"/>
    </xf>
    <xf numFmtId="0" fontId="9" fillId="5" borderId="26" xfId="0" applyFont="1" applyFill="1" applyBorder="1"/>
    <xf numFmtId="0" fontId="0" fillId="5" borderId="26" xfId="0" applyFill="1" applyBorder="1"/>
    <xf numFmtId="0" fontId="0" fillId="5" borderId="26" xfId="0" applyFont="1" applyFill="1" applyBorder="1"/>
    <xf numFmtId="0" fontId="2" fillId="4" borderId="2" xfId="0" applyFont="1" applyFill="1" applyBorder="1"/>
    <xf numFmtId="0" fontId="0" fillId="4" borderId="3" xfId="0" applyFill="1" applyBorder="1"/>
    <xf numFmtId="0" fontId="6" fillId="4" borderId="4" xfId="0" applyFont="1" applyFill="1" applyBorder="1" applyAlignment="1">
      <alignment horizontal="right"/>
    </xf>
    <xf numFmtId="0" fontId="1" fillId="4" borderId="4" xfId="0" applyFont="1" applyFill="1" applyBorder="1" applyAlignment="1" applyProtection="1">
      <alignment horizontal="right"/>
      <protection locked="0"/>
    </xf>
    <xf numFmtId="164" fontId="0" fillId="0" borderId="20" xfId="0" applyNumberFormat="1" applyFill="1" applyBorder="1"/>
    <xf numFmtId="1" fontId="0" fillId="0" borderId="0" xfId="0" applyNumberFormat="1" applyBorder="1" applyAlignment="1">
      <alignment horizontal="center"/>
    </xf>
    <xf numFmtId="1" fontId="0" fillId="0" borderId="0" xfId="0" applyNumberFormat="1" applyBorder="1" applyAlignment="1">
      <alignment horizontal="left"/>
    </xf>
    <xf numFmtId="1" fontId="0" fillId="0" borderId="0" xfId="0" applyNumberFormat="1"/>
    <xf numFmtId="1" fontId="0" fillId="5" borderId="0" xfId="0" applyNumberFormat="1" applyFill="1" applyBorder="1"/>
    <xf numFmtId="1" fontId="8" fillId="0" borderId="0" xfId="0" applyNumberFormat="1" applyFont="1"/>
    <xf numFmtId="1" fontId="0" fillId="0" borderId="0" xfId="0" applyNumberFormat="1" applyFill="1" applyBorder="1"/>
    <xf numFmtId="0" fontId="0" fillId="0" borderId="0" xfId="0" applyAlignment="1">
      <alignment horizontal="center"/>
    </xf>
    <xf numFmtId="0" fontId="3" fillId="4" borderId="0" xfId="1" applyFill="1" applyAlignment="1"/>
    <xf numFmtId="0" fontId="0" fillId="0" borderId="0" xfId="0" applyAlignment="1"/>
    <xf numFmtId="0" fontId="0" fillId="0" borderId="0" xfId="0" applyAlignment="1">
      <alignment horizontal="center"/>
    </xf>
    <xf numFmtId="0" fontId="0" fillId="0" borderId="0" xfId="0" applyFont="1" applyFill="1" applyBorder="1" applyAlignment="1" applyProtection="1">
      <alignment horizontal="center" vertical="top" wrapText="1"/>
    </xf>
    <xf numFmtId="0" fontId="3" fillId="4" borderId="0" xfId="1" applyFill="1" applyBorder="1" applyAlignment="1">
      <alignment horizontal="right"/>
    </xf>
    <xf numFmtId="0" fontId="0" fillId="0" borderId="0" xfId="0" applyAlignment="1">
      <alignment horizontal="right"/>
    </xf>
    <xf numFmtId="0" fontId="0" fillId="0" borderId="0" xfId="0" applyBorder="1" applyAlignment="1"/>
    <xf numFmtId="0" fontId="0" fillId="0" borderId="0" xfId="0" applyAlignment="1"/>
    <xf numFmtId="0" fontId="0" fillId="0" borderId="0" xfId="0" applyAlignment="1">
      <alignment horizontal="center"/>
    </xf>
    <xf numFmtId="0" fontId="3" fillId="4" borderId="0" xfId="1" applyFill="1" applyAlignment="1"/>
    <xf numFmtId="164" fontId="0" fillId="0" borderId="0" xfId="0" applyNumberFormat="1" applyAlignment="1"/>
    <xf numFmtId="164" fontId="19" fillId="0" borderId="0" xfId="0" applyNumberFormat="1" applyFont="1" applyAlignment="1"/>
    <xf numFmtId="0" fontId="19" fillId="0" borderId="0" xfId="0" applyFont="1" applyAlignment="1"/>
    <xf numFmtId="0" fontId="0" fillId="5" borderId="0" xfId="0" applyFill="1" applyBorder="1" applyAlignment="1"/>
    <xf numFmtId="0" fontId="0" fillId="0" borderId="0" xfId="0" applyBorder="1" applyAlignment="1"/>
    <xf numFmtId="0" fontId="24" fillId="0" borderId="14" xfId="0" applyFont="1" applyFill="1" applyBorder="1"/>
    <xf numFmtId="0" fontId="26" fillId="8" borderId="21" xfId="0" applyFont="1" applyFill="1" applyBorder="1" applyAlignment="1">
      <alignment horizontal="center" vertical="center"/>
    </xf>
    <xf numFmtId="0" fontId="26" fillId="8" borderId="30" xfId="0" applyFont="1" applyFill="1" applyBorder="1" applyAlignment="1">
      <alignment horizontal="center" vertical="center"/>
    </xf>
    <xf numFmtId="0" fontId="0" fillId="9" borderId="21" xfId="0" applyFill="1" applyBorder="1"/>
    <xf numFmtId="0" fontId="0" fillId="9" borderId="23" xfId="0" applyFill="1" applyBorder="1"/>
    <xf numFmtId="0" fontId="0" fillId="9" borderId="22" xfId="0" applyFill="1" applyBorder="1"/>
    <xf numFmtId="0" fontId="30" fillId="4" borderId="0" xfId="0" applyFont="1" applyFill="1" applyBorder="1" applyProtection="1"/>
    <xf numFmtId="0" fontId="30" fillId="4" borderId="0" xfId="0" applyFont="1" applyFill="1" applyBorder="1"/>
    <xf numFmtId="1" fontId="0" fillId="0" borderId="0" xfId="0" applyNumberFormat="1" applyAlignment="1">
      <alignment horizontal="left"/>
    </xf>
    <xf numFmtId="0" fontId="0" fillId="0" borderId="31" xfId="0" applyFill="1" applyBorder="1"/>
    <xf numFmtId="0" fontId="0" fillId="0" borderId="24" xfId="0" applyFill="1" applyBorder="1"/>
    <xf numFmtId="0" fontId="24" fillId="0" borderId="18" xfId="0" applyFont="1" applyFill="1" applyBorder="1"/>
    <xf numFmtId="0" fontId="31" fillId="4" borderId="0" xfId="1" applyFont="1" applyFill="1" applyBorder="1" applyAlignment="1">
      <alignment horizontal="right"/>
    </xf>
    <xf numFmtId="0" fontId="0" fillId="0" borderId="18" xfId="0" applyBorder="1" applyAlignment="1">
      <alignment vertical="top"/>
    </xf>
    <xf numFmtId="0" fontId="0" fillId="0" borderId="20" xfId="0" applyBorder="1" applyAlignment="1">
      <alignment vertical="top"/>
    </xf>
    <xf numFmtId="0" fontId="30" fillId="4" borderId="32" xfId="0" applyFont="1" applyFill="1" applyBorder="1" applyProtection="1"/>
    <xf numFmtId="0" fontId="0" fillId="0" borderId="0" xfId="0" applyAlignment="1">
      <alignment vertical="top"/>
    </xf>
    <xf numFmtId="0" fontId="0" fillId="0" borderId="25" xfId="0" applyBorder="1"/>
    <xf numFmtId="0" fontId="0" fillId="0" borderId="24" xfId="0" applyBorder="1"/>
    <xf numFmtId="0" fontId="0" fillId="0" borderId="24" xfId="0" applyBorder="1" applyAlignment="1">
      <alignment vertical="center"/>
    </xf>
    <xf numFmtId="0" fontId="24" fillId="0" borderId="18" xfId="0" applyFont="1" applyFill="1" applyBorder="1" applyAlignment="1">
      <alignment vertical="center"/>
    </xf>
    <xf numFmtId="0" fontId="0" fillId="0" borderId="0" xfId="0" applyAlignment="1">
      <alignment vertical="center"/>
    </xf>
    <xf numFmtId="0" fontId="0" fillId="9" borderId="22" xfId="0" applyFill="1" applyBorder="1" applyAlignment="1">
      <alignment vertical="center"/>
    </xf>
    <xf numFmtId="0" fontId="0" fillId="9" borderId="23" xfId="0" applyFill="1" applyBorder="1" applyAlignment="1">
      <alignment vertical="center"/>
    </xf>
    <xf numFmtId="0" fontId="0" fillId="0" borderId="0" xfId="0" applyFill="1" applyAlignment="1">
      <alignment vertical="center"/>
    </xf>
    <xf numFmtId="0" fontId="0" fillId="0" borderId="31" xfId="0" applyFill="1" applyBorder="1" applyAlignment="1">
      <alignment vertical="center"/>
    </xf>
    <xf numFmtId="0" fontId="0" fillId="0" borderId="24" xfId="0" applyFill="1" applyBorder="1" applyAlignment="1">
      <alignment vertical="center"/>
    </xf>
    <xf numFmtId="0" fontId="0" fillId="9" borderId="21" xfId="0" applyFill="1" applyBorder="1" applyAlignment="1">
      <alignment vertical="center"/>
    </xf>
    <xf numFmtId="0" fontId="0" fillId="0" borderId="25" xfId="0" applyBorder="1" applyAlignment="1">
      <alignment vertical="center"/>
    </xf>
    <xf numFmtId="0" fontId="0" fillId="0" borderId="0" xfId="0" applyAlignment="1">
      <alignment horizontal="left" vertical="top"/>
    </xf>
    <xf numFmtId="0" fontId="0" fillId="9" borderId="16" xfId="0" applyFill="1" applyBorder="1" applyAlignment="1">
      <alignment vertical="center"/>
    </xf>
    <xf numFmtId="0" fontId="24" fillId="0" borderId="0" xfId="0" applyFont="1" applyFill="1" applyBorder="1" applyAlignment="1">
      <alignment vertical="center"/>
    </xf>
    <xf numFmtId="0" fontId="0" fillId="0" borderId="34" xfId="0" applyBorder="1"/>
    <xf numFmtId="0" fontId="29" fillId="9" borderId="17" xfId="0" applyFont="1" applyFill="1" applyBorder="1" applyAlignment="1">
      <alignment horizontal="center" vertical="center"/>
    </xf>
    <xf numFmtId="0" fontId="0" fillId="9" borderId="0" xfId="0" applyFill="1" applyBorder="1"/>
    <xf numFmtId="0" fontId="0" fillId="9" borderId="33" xfId="0" applyFill="1" applyBorder="1"/>
    <xf numFmtId="0" fontId="0" fillId="13" borderId="0" xfId="0" applyFill="1" applyBorder="1" applyAlignment="1"/>
    <xf numFmtId="0" fontId="1" fillId="0" borderId="0" xfId="0" applyFont="1"/>
    <xf numFmtId="1" fontId="1" fillId="0" borderId="0" xfId="0" applyNumberFormat="1" applyFont="1" applyBorder="1"/>
    <xf numFmtId="1" fontId="1" fillId="0" borderId="0" xfId="0" applyNumberFormat="1" applyFont="1" applyBorder="1" applyAlignment="1">
      <alignment horizontal="left"/>
    </xf>
    <xf numFmtId="1" fontId="1" fillId="0" borderId="0" xfId="0" applyNumberFormat="1" applyFont="1" applyBorder="1" applyAlignment="1">
      <alignment horizontal="right"/>
    </xf>
    <xf numFmtId="0" fontId="27" fillId="0" borderId="0" xfId="0" applyFont="1"/>
    <xf numFmtId="0" fontId="0" fillId="0" borderId="0" xfId="0" applyProtection="1">
      <protection locked="0"/>
    </xf>
    <xf numFmtId="0" fontId="0" fillId="0" borderId="0" xfId="0" applyAlignment="1"/>
    <xf numFmtId="0" fontId="0" fillId="0" borderId="0" xfId="0" applyAlignment="1">
      <alignment horizontal="right"/>
    </xf>
    <xf numFmtId="0" fontId="0" fillId="3" borderId="0" xfId="0" applyFill="1" applyAlignment="1" applyProtection="1">
      <alignment horizontal="center"/>
    </xf>
    <xf numFmtId="0" fontId="0" fillId="3" borderId="2" xfId="0" applyFill="1" applyBorder="1"/>
    <xf numFmtId="0" fontId="9" fillId="5" borderId="0" xfId="0" applyFont="1" applyFill="1" applyBorder="1"/>
    <xf numFmtId="0" fontId="1" fillId="4" borderId="0" xfId="0" applyFont="1" applyFill="1" applyBorder="1" applyProtection="1"/>
    <xf numFmtId="0" fontId="1" fillId="4" borderId="0" xfId="0" quotePrefix="1" applyFont="1" applyFill="1" applyBorder="1"/>
    <xf numFmtId="0" fontId="1" fillId="4" borderId="0" xfId="0" quotePrefix="1" applyFont="1" applyFill="1" applyBorder="1" applyProtection="1"/>
    <xf numFmtId="0" fontId="1" fillId="4" borderId="0" xfId="0" applyFont="1" applyFill="1" applyBorder="1" applyAlignment="1" applyProtection="1">
      <alignment horizontal="center" vertical="top" wrapText="1"/>
    </xf>
    <xf numFmtId="0" fontId="1" fillId="4" borderId="0" xfId="0" applyFont="1" applyFill="1" applyBorder="1" applyAlignment="1">
      <alignment horizontal="right"/>
    </xf>
    <xf numFmtId="0" fontId="27" fillId="4" borderId="0" xfId="0" applyFont="1" applyFill="1" applyBorder="1" applyAlignment="1">
      <alignment horizontal="center"/>
    </xf>
    <xf numFmtId="0" fontId="1" fillId="4" borderId="1" xfId="0" applyFont="1" applyFill="1" applyBorder="1"/>
    <xf numFmtId="0" fontId="27" fillId="4" borderId="0" xfId="0" applyFont="1" applyFill="1" applyBorder="1" applyAlignment="1" applyProtection="1">
      <alignment horizontal="left"/>
    </xf>
    <xf numFmtId="0" fontId="36" fillId="4" borderId="0" xfId="0" applyFont="1" applyFill="1" applyBorder="1"/>
    <xf numFmtId="0" fontId="33" fillId="4" borderId="0" xfId="0" applyFont="1" applyFill="1" applyBorder="1"/>
    <xf numFmtId="0" fontId="38" fillId="3" borderId="0" xfId="0" applyFont="1" applyFill="1"/>
    <xf numFmtId="0" fontId="39" fillId="4" borderId="0" xfId="0" applyFont="1" applyFill="1" applyBorder="1" applyProtection="1"/>
    <xf numFmtId="0" fontId="39" fillId="4" borderId="0" xfId="0" applyFont="1" applyFill="1" applyBorder="1"/>
    <xf numFmtId="0" fontId="39" fillId="4" borderId="0" xfId="0" applyFont="1" applyFill="1" applyBorder="1" applyAlignment="1" applyProtection="1">
      <alignment horizontal="center" vertical="top" wrapText="1"/>
    </xf>
    <xf numFmtId="0" fontId="39" fillId="4" borderId="0" xfId="0" applyFont="1" applyFill="1"/>
    <xf numFmtId="0" fontId="35" fillId="4" borderId="0" xfId="0" applyFont="1" applyFill="1" applyBorder="1" applyAlignment="1" applyProtection="1">
      <alignment vertical="top" wrapText="1"/>
    </xf>
    <xf numFmtId="0" fontId="35" fillId="4" borderId="0" xfId="0" applyFont="1" applyFill="1" applyAlignment="1">
      <alignment wrapText="1"/>
    </xf>
    <xf numFmtId="0" fontId="0" fillId="14" borderId="0" xfId="0" applyFill="1"/>
    <xf numFmtId="0" fontId="5" fillId="14" borderId="0" xfId="0" applyFont="1" applyFill="1"/>
    <xf numFmtId="0" fontId="2" fillId="3" borderId="0" xfId="0" applyFont="1" applyFill="1" applyBorder="1"/>
    <xf numFmtId="0" fontId="37" fillId="4" borderId="0" xfId="0" applyFont="1" applyFill="1" applyBorder="1" applyAlignment="1" applyProtection="1">
      <alignment horizontal="left"/>
    </xf>
    <xf numFmtId="0" fontId="39" fillId="4" borderId="0" xfId="0" applyFont="1" applyFill="1" applyAlignment="1">
      <alignment horizontal="center" vertical="top" wrapText="1"/>
    </xf>
    <xf numFmtId="0" fontId="37" fillId="4" borderId="0" xfId="0" applyFont="1" applyFill="1" applyBorder="1" applyAlignment="1">
      <alignment horizontal="right" indent="4"/>
    </xf>
    <xf numFmtId="0" fontId="1" fillId="4" borderId="0" xfId="0" applyFont="1" applyFill="1" applyAlignment="1">
      <alignment horizontal="right" indent="4"/>
    </xf>
    <xf numFmtId="0" fontId="1" fillId="4" borderId="0" xfId="0" applyFont="1" applyFill="1" applyBorder="1" applyAlignment="1">
      <alignment horizontal="right" indent="4"/>
    </xf>
    <xf numFmtId="0" fontId="1" fillId="4" borderId="0" xfId="0" applyFont="1" applyFill="1" applyAlignment="1">
      <alignment horizontal="right" indent="5"/>
    </xf>
    <xf numFmtId="0" fontId="0" fillId="5" borderId="35" xfId="0" applyFill="1" applyBorder="1"/>
    <xf numFmtId="0" fontId="12" fillId="3" borderId="36" xfId="0" applyFont="1" applyFill="1" applyBorder="1"/>
    <xf numFmtId="0" fontId="0" fillId="3" borderId="36" xfId="0" applyFill="1" applyBorder="1" applyProtection="1"/>
    <xf numFmtId="0" fontId="0" fillId="3" borderId="36" xfId="0" applyFill="1" applyBorder="1"/>
    <xf numFmtId="0" fontId="12" fillId="3" borderId="37" xfId="0" applyFont="1" applyFill="1" applyBorder="1"/>
    <xf numFmtId="0" fontId="0" fillId="0" borderId="0" xfId="0" applyBorder="1" applyAlignment="1"/>
    <xf numFmtId="0" fontId="0" fillId="0" borderId="0" xfId="0" applyAlignment="1">
      <alignment horizontal="center"/>
    </xf>
    <xf numFmtId="0" fontId="12" fillId="3" borderId="38" xfId="0" applyFont="1" applyFill="1" applyBorder="1"/>
    <xf numFmtId="0" fontId="0" fillId="3" borderId="39" xfId="0" applyFill="1" applyBorder="1" applyProtection="1"/>
    <xf numFmtId="0" fontId="0" fillId="3" borderId="39" xfId="0" applyFill="1" applyBorder="1"/>
    <xf numFmtId="0" fontId="0" fillId="3" borderId="40" xfId="0" applyFill="1" applyBorder="1"/>
    <xf numFmtId="0" fontId="0" fillId="3" borderId="39" xfId="0" applyFill="1" applyBorder="1" applyProtection="1">
      <protection locked="0"/>
    </xf>
    <xf numFmtId="0" fontId="0" fillId="0" borderId="0" xfId="0" applyAlignment="1">
      <alignment wrapText="1"/>
    </xf>
    <xf numFmtId="0" fontId="0" fillId="0" borderId="0" xfId="0" applyAlignment="1">
      <alignment horizontal="right"/>
    </xf>
    <xf numFmtId="0" fontId="0" fillId="0" borderId="0" xfId="0" applyAlignment="1">
      <alignment vertical="top" wrapText="1"/>
    </xf>
    <xf numFmtId="0" fontId="0" fillId="0" borderId="0" xfId="0" applyBorder="1" applyAlignment="1">
      <alignment vertical="top"/>
    </xf>
    <xf numFmtId="0" fontId="0" fillId="4" borderId="0" xfId="0" applyNumberFormat="1" applyFill="1"/>
    <xf numFmtId="0" fontId="2" fillId="4" borderId="0" xfId="0" applyNumberFormat="1" applyFont="1" applyFill="1"/>
    <xf numFmtId="0" fontId="17" fillId="4" borderId="0" xfId="0" applyNumberFormat="1" applyFont="1" applyFill="1"/>
    <xf numFmtId="0" fontId="17" fillId="3" borderId="0" xfId="0" applyNumberFormat="1" applyFont="1" applyFill="1"/>
    <xf numFmtId="0" fontId="17" fillId="0" borderId="0" xfId="0" applyNumberFormat="1" applyFont="1" applyFill="1"/>
    <xf numFmtId="0" fontId="0" fillId="0" borderId="0" xfId="0" applyNumberFormat="1" applyFill="1"/>
    <xf numFmtId="0" fontId="0" fillId="0" borderId="0" xfId="0" applyNumberFormat="1"/>
    <xf numFmtId="0" fontId="8" fillId="0" borderId="0" xfId="0" applyNumberFormat="1" applyFont="1"/>
    <xf numFmtId="0" fontId="8" fillId="0" borderId="0" xfId="0" applyNumberFormat="1" applyFont="1" applyBorder="1"/>
    <xf numFmtId="0" fontId="8" fillId="0" borderId="0" xfId="0" applyNumberFormat="1" applyFont="1" applyAlignment="1">
      <alignment horizontal="right"/>
    </xf>
    <xf numFmtId="0" fontId="0" fillId="0" borderId="0" xfId="0" applyNumberFormat="1" applyFont="1"/>
    <xf numFmtId="0" fontId="0" fillId="0" borderId="0" xfId="0" applyNumberFormat="1" applyAlignment="1">
      <alignment horizontal="left"/>
    </xf>
    <xf numFmtId="0" fontId="0" fillId="0" borderId="0" xfId="0" applyNumberFormat="1" applyFont="1" applyBorder="1"/>
    <xf numFmtId="0" fontId="11" fillId="0" borderId="0" xfId="0" quotePrefix="1" applyFont="1" applyFill="1" applyAlignment="1">
      <alignment horizontal="center"/>
    </xf>
    <xf numFmtId="0" fontId="0" fillId="0" borderId="32" xfId="0" applyBorder="1" applyAlignment="1">
      <alignment horizontal="right" vertical="top"/>
    </xf>
    <xf numFmtId="0" fontId="0" fillId="0" borderId="32" xfId="0" applyBorder="1" applyAlignment="1">
      <alignment horizontal="center" vertical="top"/>
    </xf>
    <xf numFmtId="0" fontId="0" fillId="0" borderId="32" xfId="0" applyBorder="1" applyAlignment="1">
      <alignment horizontal="left" vertical="top"/>
    </xf>
    <xf numFmtId="0" fontId="0" fillId="3" borderId="0" xfId="0" applyFill="1" applyAlignment="1">
      <alignment vertical="top"/>
    </xf>
    <xf numFmtId="0" fontId="5" fillId="0" borderId="0" xfId="0" applyFont="1" applyFill="1" applyBorder="1" applyAlignment="1">
      <alignment vertical="top"/>
    </xf>
    <xf numFmtId="0" fontId="0" fillId="3" borderId="0" xfId="0" applyFill="1" applyBorder="1" applyAlignment="1">
      <alignment vertical="top"/>
    </xf>
    <xf numFmtId="0" fontId="8" fillId="0" borderId="0" xfId="0" applyFont="1" applyAlignment="1">
      <alignment horizontal="center" vertical="top"/>
    </xf>
    <xf numFmtId="0" fontId="0" fillId="5" borderId="0" xfId="0" applyFill="1" applyBorder="1" applyAlignment="1"/>
    <xf numFmtId="164" fontId="18" fillId="5" borderId="0" xfId="1" applyNumberFormat="1" applyFont="1" applyFill="1" applyBorder="1" applyAlignment="1"/>
    <xf numFmtId="0" fontId="18" fillId="5" borderId="0" xfId="1" applyFont="1" applyFill="1" applyBorder="1" applyAlignment="1"/>
    <xf numFmtId="164" fontId="0" fillId="5" borderId="0" xfId="0" applyNumberFormat="1" applyFill="1" applyBorder="1" applyAlignment="1"/>
    <xf numFmtId="0" fontId="0" fillId="0" borderId="0" xfId="0" applyAlignment="1">
      <alignment horizontal="right"/>
    </xf>
    <xf numFmtId="0" fontId="0" fillId="0" borderId="0" xfId="0" applyAlignment="1">
      <alignment horizontal="center"/>
    </xf>
    <xf numFmtId="0" fontId="0" fillId="0" borderId="0" xfId="0" applyProtection="1"/>
    <xf numFmtId="0" fontId="0" fillId="0" borderId="0" xfId="0" applyAlignment="1" applyProtection="1"/>
    <xf numFmtId="0" fontId="0" fillId="0" borderId="0" xfId="0" applyBorder="1" applyAlignment="1" applyProtection="1"/>
    <xf numFmtId="0" fontId="0" fillId="0" borderId="0" xfId="0" applyBorder="1" applyAlignment="1" applyProtection="1">
      <alignment horizontal="right"/>
    </xf>
    <xf numFmtId="0" fontId="0" fillId="0" borderId="0" xfId="0" applyBorder="1" applyAlignment="1"/>
    <xf numFmtId="0" fontId="0" fillId="0" borderId="32" xfId="0" applyBorder="1" applyAlignment="1" applyProtection="1">
      <alignment horizontal="left" vertical="top"/>
    </xf>
    <xf numFmtId="0" fontId="0" fillId="0" borderId="0" xfId="0" applyAlignment="1"/>
    <xf numFmtId="0" fontId="0" fillId="0" borderId="0" xfId="0" applyAlignment="1">
      <alignment horizontal="center"/>
    </xf>
    <xf numFmtId="0" fontId="0" fillId="0" borderId="0" xfId="0" applyAlignment="1" applyProtection="1">
      <alignment horizontal="left" indent="1"/>
    </xf>
    <xf numFmtId="0" fontId="0" fillId="0" borderId="0" xfId="0" applyBorder="1" applyProtection="1"/>
    <xf numFmtId="0" fontId="3" fillId="0" borderId="0" xfId="1" applyBorder="1" applyAlignment="1" applyProtection="1">
      <alignment horizontal="left" indent="1"/>
    </xf>
    <xf numFmtId="0" fontId="0" fillId="0" borderId="0" xfId="0" applyBorder="1" applyAlignment="1" applyProtection="1">
      <alignment horizontal="center"/>
    </xf>
    <xf numFmtId="0" fontId="0" fillId="3" borderId="0" xfId="0" applyFill="1" applyProtection="1"/>
    <xf numFmtId="0" fontId="5" fillId="0" borderId="0" xfId="0" applyFont="1" applyBorder="1" applyProtection="1"/>
    <xf numFmtId="164" fontId="0" fillId="0" borderId="0" xfId="0" applyNumberFormat="1" applyProtection="1"/>
    <xf numFmtId="164" fontId="0" fillId="0" borderId="0" xfId="0" applyNumberFormat="1" applyAlignment="1" applyProtection="1"/>
    <xf numFmtId="0" fontId="0" fillId="0" borderId="0" xfId="0" applyAlignment="1">
      <alignment horizontal="right"/>
    </xf>
    <xf numFmtId="165" fontId="7" fillId="0" borderId="0" xfId="0" applyNumberFormat="1" applyFont="1" applyFill="1" applyProtection="1">
      <protection hidden="1"/>
    </xf>
    <xf numFmtId="2" fontId="0" fillId="0" borderId="0" xfId="0" applyNumberFormat="1"/>
    <xf numFmtId="0" fontId="2" fillId="0" borderId="0" xfId="0" applyFont="1"/>
    <xf numFmtId="166" fontId="7" fillId="0" borderId="0" xfId="0" applyNumberFormat="1" applyFont="1" applyFill="1" applyProtection="1">
      <protection hidden="1"/>
    </xf>
    <xf numFmtId="1" fontId="7" fillId="0" borderId="0" xfId="0" applyNumberFormat="1" applyFont="1" applyFill="1" applyProtection="1">
      <protection hidden="1"/>
    </xf>
    <xf numFmtId="0" fontId="30" fillId="0" borderId="0" xfId="0" quotePrefix="1" applyFont="1" applyBorder="1"/>
    <xf numFmtId="0" fontId="20" fillId="0" borderId="0" xfId="0" applyFont="1" applyBorder="1" applyAlignment="1">
      <alignment horizontal="left" indent="1"/>
    </xf>
    <xf numFmtId="0" fontId="0" fillId="0" borderId="0" xfId="0" applyAlignment="1">
      <alignment horizontal="left" indent="1"/>
    </xf>
    <xf numFmtId="0" fontId="3" fillId="5" borderId="0" xfId="1" applyFill="1" applyBorder="1" applyAlignment="1" applyProtection="1">
      <protection locked="0"/>
    </xf>
    <xf numFmtId="0" fontId="0" fillId="0" borderId="0" xfId="0" applyAlignment="1" applyProtection="1">
      <protection locked="0"/>
    </xf>
    <xf numFmtId="0" fontId="15" fillId="4" borderId="0" xfId="0" applyFont="1" applyFill="1" applyAlignment="1">
      <alignment horizontal="left" vertical="center" textRotation="37" wrapText="1"/>
    </xf>
    <xf numFmtId="0" fontId="0" fillId="0" borderId="0" xfId="0" applyAlignment="1">
      <alignment horizontal="left" vertical="center" textRotation="37" wrapText="1"/>
    </xf>
    <xf numFmtId="0" fontId="2" fillId="4" borderId="0" xfId="0" applyFont="1" applyFill="1" applyBorder="1" applyAlignment="1"/>
    <xf numFmtId="0" fontId="2" fillId="0" borderId="0" xfId="0" applyFont="1" applyAlignment="1"/>
    <xf numFmtId="0" fontId="40" fillId="0" borderId="0" xfId="0" applyFont="1" applyAlignment="1">
      <alignment horizontal="center" vertical="top" wrapText="1"/>
    </xf>
    <xf numFmtId="0" fontId="15" fillId="4" borderId="0" xfId="0" applyFont="1" applyFill="1" applyAlignment="1">
      <alignment vertical="center" textRotation="90"/>
    </xf>
    <xf numFmtId="0" fontId="0" fillId="0" borderId="0" xfId="0" applyAlignment="1"/>
    <xf numFmtId="1" fontId="15" fillId="4" borderId="0" xfId="0" applyNumberFormat="1" applyFont="1" applyFill="1" applyAlignment="1">
      <alignment horizontal="center"/>
    </xf>
    <xf numFmtId="0" fontId="0" fillId="0" borderId="0" xfId="0" applyAlignment="1">
      <alignment horizontal="center"/>
    </xf>
    <xf numFmtId="0" fontId="1" fillId="4" borderId="0" xfId="0" applyFont="1" applyFill="1" applyBorder="1" applyAlignment="1" applyProtection="1">
      <protection locked="0"/>
    </xf>
    <xf numFmtId="0" fontId="3" fillId="4" borderId="0" xfId="1" applyFill="1" applyAlignment="1" applyProtection="1">
      <protection locked="0"/>
    </xf>
    <xf numFmtId="0" fontId="32" fillId="3" borderId="0" xfId="1" applyFont="1" applyFill="1" applyAlignment="1" applyProtection="1">
      <alignment horizontal="center" wrapText="1"/>
      <protection locked="0"/>
    </xf>
    <xf numFmtId="0" fontId="33" fillId="3" borderId="0" xfId="0" applyFont="1" applyFill="1" applyAlignment="1" applyProtection="1">
      <alignment horizontal="center" wrapText="1"/>
      <protection locked="0"/>
    </xf>
    <xf numFmtId="0" fontId="8" fillId="0" borderId="0" xfId="0" applyFont="1" applyAlignment="1"/>
    <xf numFmtId="0" fontId="0" fillId="5" borderId="0" xfId="0" applyFill="1" applyBorder="1" applyAlignment="1"/>
    <xf numFmtId="0" fontId="18" fillId="5" borderId="0" xfId="1" applyFont="1" applyFill="1" applyBorder="1" applyAlignment="1"/>
    <xf numFmtId="0" fontId="19" fillId="0" borderId="0" xfId="0" applyFont="1" applyAlignment="1"/>
    <xf numFmtId="0" fontId="3" fillId="0" borderId="0" xfId="1" applyBorder="1" applyAlignment="1" applyProtection="1">
      <alignment horizontal="left" indent="1"/>
      <protection locked="0"/>
    </xf>
    <xf numFmtId="0" fontId="0" fillId="0" borderId="0" xfId="0" applyAlignment="1" applyProtection="1">
      <alignment horizontal="left" indent="1"/>
      <protection locked="0"/>
    </xf>
    <xf numFmtId="0" fontId="0" fillId="0" borderId="0" xfId="0" applyBorder="1" applyAlignment="1"/>
    <xf numFmtId="0" fontId="3" fillId="4" borderId="0" xfId="1" applyFill="1" applyBorder="1" applyAlignment="1">
      <alignment horizontal="right"/>
    </xf>
    <xf numFmtId="0" fontId="0" fillId="0" borderId="0" xfId="0" applyAlignment="1">
      <alignment horizontal="right"/>
    </xf>
    <xf numFmtId="0" fontId="37" fillId="4" borderId="0" xfId="0" applyFont="1" applyFill="1" applyAlignment="1">
      <alignment horizontal="center"/>
    </xf>
    <xf numFmtId="0" fontId="39" fillId="4" borderId="0" xfId="0" applyFont="1" applyFill="1" applyAlignment="1">
      <alignment horizontal="center" vertical="top" wrapText="1"/>
    </xf>
    <xf numFmtId="0" fontId="8" fillId="0" borderId="32" xfId="0" applyFont="1" applyBorder="1" applyAlignment="1">
      <alignment vertical="top"/>
    </xf>
    <xf numFmtId="0" fontId="0" fillId="0" borderId="32" xfId="0" applyBorder="1" applyAlignment="1">
      <alignment vertical="top"/>
    </xf>
    <xf numFmtId="0" fontId="20" fillId="0" borderId="0" xfId="0" applyFont="1" applyBorder="1" applyAlignment="1"/>
    <xf numFmtId="0" fontId="3" fillId="0" borderId="41" xfId="1" applyBorder="1" applyAlignment="1" applyProtection="1">
      <alignment horizontal="left" indent="1"/>
      <protection locked="0"/>
    </xf>
    <xf numFmtId="0" fontId="0" fillId="0" borderId="41" xfId="0" applyBorder="1" applyAlignment="1" applyProtection="1">
      <alignment horizontal="left" indent="1"/>
      <protection locked="0"/>
    </xf>
    <xf numFmtId="0" fontId="42" fillId="0" borderId="42" xfId="0" applyFont="1" applyBorder="1" applyAlignment="1">
      <alignment horizontal="left"/>
    </xf>
    <xf numFmtId="0" fontId="0" fillId="0" borderId="43" xfId="0" applyBorder="1" applyAlignment="1"/>
    <xf numFmtId="0" fontId="0" fillId="0" borderId="44" xfId="0" applyBorder="1" applyAlignment="1"/>
    <xf numFmtId="0" fontId="0" fillId="0" borderId="0" xfId="0" applyAlignment="1">
      <alignment horizontal="left" vertical="top" wrapText="1"/>
    </xf>
    <xf numFmtId="0" fontId="0" fillId="0" borderId="0" xfId="0" applyAlignment="1">
      <alignment vertical="top" wrapText="1"/>
    </xf>
    <xf numFmtId="0" fontId="3" fillId="4" borderId="0" xfId="1" applyFill="1" applyBorder="1" applyAlignment="1">
      <alignment horizontal="center"/>
    </xf>
    <xf numFmtId="0" fontId="22" fillId="0" borderId="0" xfId="0" applyFont="1" applyAlignment="1">
      <alignment horizontal="center" vertical="top" wrapText="1"/>
    </xf>
    <xf numFmtId="0" fontId="30" fillId="4" borderId="0" xfId="0" applyFont="1" applyFill="1" applyBorder="1" applyAlignment="1" applyProtection="1"/>
    <xf numFmtId="0" fontId="30" fillId="0" borderId="0" xfId="0" applyFont="1" applyAlignment="1" applyProtection="1"/>
    <xf numFmtId="0" fontId="3" fillId="4" borderId="0" xfId="1" applyFill="1" applyAlignment="1"/>
    <xf numFmtId="0" fontId="30" fillId="4" borderId="0" xfId="0" applyFont="1" applyFill="1" applyBorder="1" applyAlignment="1" applyProtection="1">
      <protection locked="0"/>
    </xf>
    <xf numFmtId="0" fontId="30" fillId="0" borderId="0" xfId="0" applyFont="1" applyAlignment="1" applyProtection="1">
      <protection locked="0"/>
    </xf>
    <xf numFmtId="164" fontId="0" fillId="5" borderId="0" xfId="0" applyNumberFormat="1" applyFill="1" applyBorder="1" applyAlignment="1"/>
    <xf numFmtId="164" fontId="0" fillId="0" borderId="0" xfId="0" applyNumberFormat="1" applyAlignment="1"/>
    <xf numFmtId="164" fontId="18" fillId="5" borderId="0" xfId="1" applyNumberFormat="1" applyFont="1" applyFill="1" applyBorder="1" applyAlignment="1"/>
    <xf numFmtId="164" fontId="19" fillId="0" borderId="0" xfId="0" applyNumberFormat="1" applyFont="1" applyAlignment="1"/>
    <xf numFmtId="0" fontId="10" fillId="5" borderId="0" xfId="0" applyFont="1" applyFill="1" applyBorder="1" applyAlignment="1">
      <alignment horizontal="center"/>
    </xf>
    <xf numFmtId="0" fontId="8" fillId="0" borderId="0" xfId="0" applyFont="1" applyFill="1" applyBorder="1" applyAlignment="1" applyProtection="1">
      <alignment horizontal="left"/>
    </xf>
    <xf numFmtId="0" fontId="0" fillId="0" borderId="0" xfId="0" applyFont="1" applyFill="1" applyBorder="1" applyAlignment="1" applyProtection="1">
      <alignment horizontal="center" vertical="top" wrapText="1"/>
    </xf>
    <xf numFmtId="0" fontId="19" fillId="11" borderId="21" xfId="0" applyFont="1" applyFill="1" applyBorder="1" applyAlignment="1">
      <alignment horizontal="center" vertical="center" textRotation="90"/>
    </xf>
    <xf numFmtId="0" fontId="0" fillId="0" borderId="22" xfId="0" applyBorder="1" applyAlignment="1">
      <alignment horizontal="center" vertical="center" textRotation="90"/>
    </xf>
    <xf numFmtId="0" fontId="0" fillId="0" borderId="18" xfId="0" applyBorder="1" applyAlignment="1">
      <alignment horizontal="center" vertical="center" textRotation="90"/>
    </xf>
    <xf numFmtId="0" fontId="24" fillId="10" borderId="14" xfId="0" applyFont="1" applyFill="1" applyBorder="1" applyAlignment="1">
      <alignment horizontal="center" vertical="center"/>
    </xf>
    <xf numFmtId="0" fontId="0" fillId="0" borderId="15" xfId="0" applyBorder="1" applyAlignment="1"/>
    <xf numFmtId="0" fontId="0" fillId="0" borderId="16" xfId="0" applyBorder="1" applyAlignment="1"/>
    <xf numFmtId="0" fontId="0" fillId="0" borderId="20" xfId="0" applyBorder="1" applyAlignment="1"/>
    <xf numFmtId="0" fontId="34" fillId="9" borderId="13" xfId="0" applyFont="1" applyFill="1" applyBorder="1" applyAlignment="1">
      <alignment horizontal="center" vertical="center"/>
    </xf>
    <xf numFmtId="0" fontId="34" fillId="0" borderId="14" xfId="0" applyFont="1" applyBorder="1" applyAlignment="1"/>
    <xf numFmtId="0" fontId="34" fillId="0" borderId="15" xfId="0" applyFont="1" applyBorder="1" applyAlignment="1"/>
    <xf numFmtId="0" fontId="34" fillId="0" borderId="16" xfId="0" applyFont="1" applyBorder="1" applyAlignment="1"/>
    <xf numFmtId="0" fontId="34" fillId="0" borderId="19" xfId="0" applyFont="1" applyBorder="1" applyAlignment="1"/>
    <xf numFmtId="0" fontId="34" fillId="0" borderId="17" xfId="0" applyFont="1" applyBorder="1" applyAlignment="1"/>
    <xf numFmtId="0" fontId="28" fillId="13" borderId="16" xfId="0" applyFont="1" applyFill="1" applyBorder="1" applyAlignment="1">
      <alignment horizontal="center" vertical="center" textRotation="90"/>
    </xf>
    <xf numFmtId="0" fontId="0" fillId="0" borderId="0" xfId="0" applyBorder="1" applyAlignment="1">
      <alignment horizontal="center" vertical="center" textRotation="90"/>
    </xf>
    <xf numFmtId="0" fontId="0" fillId="0" borderId="16" xfId="0" applyBorder="1" applyAlignment="1">
      <alignment horizontal="center" vertical="center" textRotation="90"/>
    </xf>
    <xf numFmtId="0" fontId="28" fillId="13" borderId="27" xfId="0" applyFont="1" applyFill="1" applyBorder="1" applyAlignment="1">
      <alignment horizontal="center" vertical="center"/>
    </xf>
    <xf numFmtId="0" fontId="27" fillId="13" borderId="28" xfId="0" applyFont="1" applyFill="1" applyBorder="1" applyAlignment="1">
      <alignment horizontal="center" vertical="center"/>
    </xf>
    <xf numFmtId="0" fontId="0" fillId="0" borderId="19" xfId="0" applyBorder="1" applyAlignment="1">
      <alignment horizontal="center" vertical="center"/>
    </xf>
    <xf numFmtId="0" fontId="24" fillId="0" borderId="0" xfId="0" applyFont="1" applyAlignment="1">
      <alignment horizontal="center" vertical="center" textRotation="90"/>
    </xf>
    <xf numFmtId="0" fontId="24" fillId="0" borderId="17" xfId="0" applyFont="1" applyFill="1" applyBorder="1" applyAlignment="1">
      <alignment horizontal="right" vertical="center" textRotation="90" wrapText="1"/>
    </xf>
    <xf numFmtId="0" fontId="24" fillId="0" borderId="17" xfId="0" applyFont="1" applyFill="1" applyBorder="1" applyAlignment="1">
      <alignment horizontal="right" vertical="center" textRotation="90"/>
    </xf>
    <xf numFmtId="0" fontId="24" fillId="0" borderId="17" xfId="0" applyFont="1" applyFill="1" applyBorder="1" applyAlignment="1">
      <alignment horizontal="right" vertical="center"/>
    </xf>
    <xf numFmtId="0" fontId="24" fillId="0" borderId="17" xfId="0" applyFont="1" applyFill="1" applyBorder="1" applyAlignment="1"/>
    <xf numFmtId="0" fontId="24" fillId="0" borderId="0" xfId="0" applyFont="1" applyBorder="1" applyAlignment="1">
      <alignment horizontal="center" vertical="center" textRotation="90"/>
    </xf>
    <xf numFmtId="0" fontId="24" fillId="0" borderId="0" xfId="0" applyFont="1" applyFill="1" applyBorder="1" applyAlignment="1">
      <alignment horizontal="center" vertical="center" textRotation="90" wrapText="1"/>
    </xf>
    <xf numFmtId="0" fontId="0" fillId="0" borderId="0" xfId="0" applyFill="1" applyBorder="1" applyAlignment="1">
      <alignment horizontal="center" vertical="center" textRotation="90"/>
    </xf>
    <xf numFmtId="0" fontId="24" fillId="0" borderId="0" xfId="0" applyFont="1" applyFill="1" applyBorder="1" applyAlignment="1">
      <alignment vertical="center" textRotation="90" wrapText="1"/>
    </xf>
    <xf numFmtId="0" fontId="24" fillId="0" borderId="25" xfId="0" applyFont="1" applyFill="1" applyBorder="1" applyAlignment="1">
      <alignment vertical="center" textRotation="90" wrapText="1"/>
    </xf>
    <xf numFmtId="0" fontId="24" fillId="10" borderId="27" xfId="0" applyFont="1" applyFill="1" applyBorder="1" applyAlignment="1">
      <alignment horizontal="center" vertical="center"/>
    </xf>
    <xf numFmtId="0" fontId="24" fillId="10" borderId="19" xfId="0" applyFont="1" applyFill="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34" fillId="9" borderId="18" xfId="0" applyFont="1" applyFill="1" applyBorder="1" applyAlignment="1">
      <alignment horizontal="center" vertical="center"/>
    </xf>
    <xf numFmtId="0" fontId="34" fillId="0" borderId="28" xfId="0" applyFont="1" applyBorder="1" applyAlignment="1">
      <alignment horizontal="center"/>
    </xf>
    <xf numFmtId="0" fontId="34" fillId="0" borderId="29" xfId="0" applyFont="1" applyBorder="1" applyAlignment="1">
      <alignment horizontal="center"/>
    </xf>
    <xf numFmtId="0" fontId="19" fillId="11" borderId="22" xfId="0" applyFont="1" applyFill="1" applyBorder="1" applyAlignment="1">
      <alignment horizontal="center" vertical="center" textRotation="90"/>
    </xf>
    <xf numFmtId="0" fontId="19" fillId="11" borderId="23" xfId="0" applyFont="1" applyFill="1" applyBorder="1" applyAlignment="1">
      <alignment horizontal="center" vertical="center"/>
    </xf>
    <xf numFmtId="0" fontId="19" fillId="12" borderId="21" xfId="0" applyFont="1" applyFill="1" applyBorder="1" applyAlignment="1">
      <alignment horizontal="center" vertical="center" textRotation="90"/>
    </xf>
    <xf numFmtId="0" fontId="19" fillId="12" borderId="22" xfId="0" applyFont="1" applyFill="1" applyBorder="1" applyAlignment="1">
      <alignment horizontal="center" vertical="center" textRotation="90"/>
    </xf>
    <xf numFmtId="0" fontId="24" fillId="0" borderId="24" xfId="0" applyFont="1" applyFill="1" applyBorder="1" applyAlignment="1">
      <alignment vertical="center" textRotation="90" wrapText="1"/>
    </xf>
    <xf numFmtId="0" fontId="0" fillId="0" borderId="28" xfId="0" applyBorder="1" applyAlignment="1">
      <alignment horizontal="center"/>
    </xf>
    <xf numFmtId="0" fontId="0" fillId="0" borderId="29" xfId="0" applyBorder="1" applyAlignment="1">
      <alignment horizontal="center"/>
    </xf>
    <xf numFmtId="0" fontId="27" fillId="13" borderId="29" xfId="0" applyFont="1" applyFill="1" applyBorder="1" applyAlignment="1">
      <alignment horizontal="center" vertical="center"/>
    </xf>
    <xf numFmtId="0" fontId="28" fillId="13" borderId="21" xfId="0" applyFont="1" applyFill="1" applyBorder="1" applyAlignment="1">
      <alignment horizontal="center" vertical="center" textRotation="90"/>
    </xf>
    <xf numFmtId="0" fontId="28" fillId="13" borderId="22" xfId="0" applyFont="1" applyFill="1" applyBorder="1" applyAlignment="1">
      <alignment horizontal="center" vertical="center" textRotation="90"/>
    </xf>
    <xf numFmtId="0" fontId="24" fillId="0" borderId="24" xfId="0" applyFont="1" applyFill="1" applyBorder="1" applyAlignment="1">
      <alignment horizontal="right" vertical="center" textRotation="90" wrapText="1"/>
    </xf>
    <xf numFmtId="0" fontId="24" fillId="0" borderId="0" xfId="0" applyFont="1" applyFill="1" applyBorder="1" applyAlignment="1">
      <alignment horizontal="right" vertical="center" textRotation="90"/>
    </xf>
    <xf numFmtId="0" fontId="24" fillId="0" borderId="0" xfId="0" applyFont="1" applyFill="1" applyBorder="1" applyAlignment="1">
      <alignment horizontal="right" vertical="center"/>
    </xf>
    <xf numFmtId="0" fontId="24" fillId="0" borderId="25" xfId="0" applyFont="1" applyFill="1" applyBorder="1" applyAlignment="1"/>
    <xf numFmtId="0" fontId="24" fillId="10" borderId="18" xfId="0" applyFont="1" applyFill="1" applyBorder="1" applyAlignment="1">
      <alignment horizontal="center" vertical="center"/>
    </xf>
    <xf numFmtId="0" fontId="0" fillId="0" borderId="28" xfId="0" applyBorder="1" applyAlignment="1">
      <alignment horizontal="center" vertical="center"/>
    </xf>
    <xf numFmtId="0" fontId="28" fillId="13" borderId="21" xfId="0" applyFont="1" applyFill="1" applyBorder="1" applyAlignment="1">
      <alignment horizontal="center" vertical="center" textRotation="90" wrapText="1"/>
    </xf>
    <xf numFmtId="0" fontId="27" fillId="13" borderId="23" xfId="0" applyFont="1" applyFill="1" applyBorder="1" applyAlignment="1">
      <alignment horizontal="center" vertical="center" textRotation="90"/>
    </xf>
    <xf numFmtId="0" fontId="34" fillId="0" borderId="29" xfId="0" applyFont="1" applyBorder="1" applyAlignment="1"/>
    <xf numFmtId="0" fontId="24" fillId="0" borderId="25" xfId="0" applyFont="1" applyFill="1" applyBorder="1" applyAlignment="1">
      <alignment vertical="center"/>
    </xf>
    <xf numFmtId="0" fontId="34" fillId="0" borderId="28" xfId="0" applyFont="1" applyBorder="1" applyAlignment="1">
      <alignment horizontal="center" vertical="center"/>
    </xf>
    <xf numFmtId="0" fontId="34" fillId="0" borderId="29" xfId="0" applyFont="1" applyBorder="1" applyAlignment="1">
      <alignment vertical="center"/>
    </xf>
    <xf numFmtId="0" fontId="0" fillId="0" borderId="29" xfId="0" applyBorder="1" applyAlignment="1">
      <alignment horizontal="center" vertical="center"/>
    </xf>
    <xf numFmtId="0" fontId="19" fillId="12" borderId="23" xfId="0" applyFont="1" applyFill="1" applyBorder="1" applyAlignment="1">
      <alignment horizontal="center" vertical="center" textRotation="90"/>
    </xf>
    <xf numFmtId="0" fontId="34" fillId="0" borderId="19" xfId="0" applyFont="1" applyBorder="1" applyAlignment="1">
      <alignment horizontal="center" vertical="center"/>
    </xf>
    <xf numFmtId="0" fontId="34" fillId="0" borderId="20" xfId="0" applyFont="1" applyBorder="1" applyAlignment="1">
      <alignment horizontal="center" vertical="center"/>
    </xf>
  </cellXfs>
  <cellStyles count="2">
    <cellStyle name="Hyperlink" xfId="1" builtinId="8"/>
    <cellStyle name="Standaard" xfId="0" builtinId="0"/>
  </cellStyles>
  <dxfs count="76">
    <dxf>
      <border>
        <right style="thin">
          <color auto="1"/>
        </right>
        <top style="thin">
          <color auto="1"/>
        </top>
        <vertical/>
        <horizontal/>
      </border>
    </dxf>
    <dxf>
      <font>
        <color rgb="FFE3C4A8"/>
      </font>
      <fill>
        <patternFill patternType="none">
          <bgColor auto="1"/>
        </patternFill>
      </fill>
      <border>
        <right/>
        <top/>
        <vertical/>
        <horizontal/>
      </border>
    </dxf>
    <dxf>
      <font>
        <color rgb="FFE3C4A8"/>
      </font>
      <fill>
        <patternFill patternType="none">
          <bgColor auto="1"/>
        </patternFill>
      </fill>
      <border>
        <right/>
        <top/>
        <vertical/>
        <horizontal/>
      </border>
    </dxf>
    <dxf>
      <font>
        <color rgb="FFE3C4A8"/>
      </font>
      <fill>
        <patternFill patternType="none">
          <bgColor auto="1"/>
        </patternFill>
      </fill>
      <border>
        <right/>
        <top/>
        <bottom/>
        <vertical/>
        <horizontal/>
      </border>
    </dxf>
    <dxf>
      <font>
        <color rgb="FFE3C4A8"/>
      </font>
      <fill>
        <patternFill patternType="none">
          <bgColor auto="1"/>
        </patternFill>
      </fill>
      <border>
        <right/>
        <bottom/>
      </border>
    </dxf>
    <dxf>
      <font>
        <color rgb="FFE3C4A8"/>
      </font>
      <fill>
        <patternFill patternType="none">
          <bgColor auto="1"/>
        </patternFill>
      </fill>
      <border>
        <right/>
        <bottom/>
      </border>
    </dxf>
    <dxf>
      <font>
        <color rgb="FFE3C4A8"/>
      </font>
      <fill>
        <patternFill patternType="none">
          <bgColor auto="1"/>
        </patternFill>
      </fill>
      <border>
        <right/>
        <top/>
        <vertical/>
        <horizontal/>
      </border>
    </dxf>
    <dxf>
      <font>
        <color rgb="FFE3C4A8"/>
      </font>
      <fill>
        <patternFill patternType="none">
          <bgColor auto="1"/>
        </patternFill>
      </fill>
      <border>
        <right/>
        <bottom/>
      </border>
    </dxf>
    <dxf>
      <fill>
        <patternFill>
          <bgColor theme="5" tint="0.59996337778862885"/>
        </patternFill>
      </fill>
    </dxf>
    <dxf>
      <fill>
        <patternFill>
          <bgColor theme="5" tint="0.59996337778862885"/>
        </patternFill>
      </fill>
    </dxf>
    <dxf>
      <fill>
        <patternFill>
          <bgColor theme="5" tint="0.59996337778862885"/>
        </patternFill>
      </fill>
    </dxf>
    <dxf>
      <font>
        <color rgb="FFFF0000"/>
      </font>
    </dxf>
    <dxf>
      <font>
        <color rgb="FFFF0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8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color rgb="FFFF0000"/>
      </font>
    </dxf>
    <dxf>
      <font>
        <b/>
        <i val="0"/>
        <color rgb="FFFF0000"/>
      </font>
    </dxf>
    <dxf>
      <fill>
        <patternFill>
          <bgColor rgb="FFFFFF66"/>
        </patternFill>
      </fill>
    </dxf>
    <dxf>
      <fill>
        <patternFill patternType="solid">
          <fgColor auto="1"/>
          <bgColor rgb="FFFFFF66"/>
        </patternFill>
      </fill>
    </dxf>
    <dxf>
      <fill>
        <patternFill>
          <bgColor rgb="FFFFFF66"/>
        </patternFill>
      </fill>
    </dxf>
    <dxf>
      <numFmt numFmtId="167" formatCode="* 0"/>
    </dxf>
    <dxf>
      <numFmt numFmtId="167" formatCode="* 0"/>
    </dxf>
    <dxf>
      <numFmt numFmtId="167" formatCode="* 0"/>
    </dxf>
    <dxf>
      <numFmt numFmtId="167" formatCode="* 0"/>
    </dxf>
  </dxfs>
  <tableStyles count="0" defaultTableStyle="TableStyleMedium2" defaultPivotStyle="PivotStyleLight16"/>
  <colors>
    <mruColors>
      <color rgb="FF73533C"/>
      <color rgb="FFFFFF66"/>
      <color rgb="FFFF8000"/>
      <color rgb="FFDB7607"/>
      <color rgb="FFE3C4A8"/>
      <color rgb="FF66CCFF"/>
      <color rgb="FF0066FF"/>
      <color rgb="FFFF3B0D"/>
      <color rgb="FFFF3300"/>
      <color rgb="FF986E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30"/>
      <c:depthPercent val="740"/>
      <c:rAngAx val="1"/>
    </c:view3D>
    <c:floor>
      <c:thickness val="0"/>
      <c:spPr>
        <a:solidFill>
          <a:srgbClr val="986E4E"/>
        </a:solidFill>
        <a:ln>
          <a:noFill/>
        </a:ln>
      </c:spPr>
    </c:floor>
    <c:sideWall>
      <c:thickness val="0"/>
      <c:spPr>
        <a:solidFill>
          <a:srgbClr val="B28566"/>
        </a:solidFill>
        <a:ln w="0">
          <a:solidFill>
            <a:srgbClr val="73533C"/>
          </a:solidFill>
        </a:ln>
        <a:scene3d>
          <a:camera prst="orthographicFront"/>
          <a:lightRig rig="threePt" dir="t"/>
        </a:scene3d>
        <a:sp3d/>
      </c:spPr>
    </c:sideWall>
    <c:backWall>
      <c:thickness val="0"/>
      <c:spPr>
        <a:solidFill>
          <a:srgbClr val="73533C"/>
        </a:solidFill>
        <a:ln w="0">
          <a:noFill/>
        </a:ln>
        <a:scene3d>
          <a:camera prst="orthographicFront"/>
          <a:lightRig rig="threePt" dir="t"/>
        </a:scene3d>
      </c:spPr>
    </c:backWall>
    <c:plotArea>
      <c:layout>
        <c:manualLayout>
          <c:layoutTarget val="inner"/>
          <c:xMode val="edge"/>
          <c:yMode val="edge"/>
          <c:x val="3.6791758646063282E-3"/>
          <c:y val="0"/>
          <c:w val="0.99632079201396895"/>
          <c:h val="0.97796314523184602"/>
        </c:manualLayout>
      </c:layout>
      <c:bar3DChart>
        <c:barDir val="col"/>
        <c:grouping val="stacked"/>
        <c:varyColors val="0"/>
        <c:ser>
          <c:idx val="0"/>
          <c:order val="0"/>
          <c:tx>
            <c:v>Profiel onder</c:v>
          </c:tx>
          <c:spPr>
            <a:gradFill>
              <a:gsLst>
                <a:gs pos="2000">
                  <a:schemeClr val="tx1"/>
                </a:gs>
                <a:gs pos="0">
                  <a:schemeClr val="tx1"/>
                </a:gs>
                <a:gs pos="58000">
                  <a:srgbClr val="BFBFBF"/>
                </a:gs>
                <a:gs pos="50000">
                  <a:schemeClr val="tx1"/>
                </a:gs>
                <a:gs pos="42000">
                  <a:srgbClr val="BFBFBF"/>
                </a:gs>
                <a:gs pos="100000">
                  <a:schemeClr val="bg1">
                    <a:lumMod val="75000"/>
                  </a:schemeClr>
                </a:gs>
                <a:gs pos="10000">
                  <a:schemeClr val="bg1">
                    <a:lumMod val="75000"/>
                  </a:schemeClr>
                </a:gs>
              </a:gsLst>
              <a:lin ang="5400000" scaled="0"/>
            </a:gradFill>
          </c:spPr>
          <c:invertIfNegative val="0"/>
          <c:val>
            <c:numRef>
              <c:f>Formules!$CP$26:$DS$26</c:f>
              <c:numCache>
                <c:formatCode>0.000</c:formatCode>
                <c:ptCount val="30"/>
                <c:pt idx="0">
                  <c:v>4.7404063205417603E-2</c:v>
                </c:pt>
                <c:pt idx="1">
                  <c:v>4.7404063205417603E-2</c:v>
                </c:pt>
                <c:pt idx="2">
                  <c:v>4.7404063205417603E-2</c:v>
                </c:pt>
                <c:pt idx="3">
                  <c:v>4.7404063205417603E-2</c:v>
                </c:pt>
                <c:pt idx="4">
                  <c:v>4.7404063205417603E-2</c:v>
                </c:pt>
                <c:pt idx="5">
                  <c:v>4.7404063205417603E-2</c:v>
                </c:pt>
                <c:pt idx="6">
                  <c:v>4.7404063205417603E-2</c:v>
                </c:pt>
                <c:pt idx="7">
                  <c:v>4.7404063205417603E-2</c:v>
                </c:pt>
                <c:pt idx="8">
                  <c:v>4.7404063205417603E-2</c:v>
                </c:pt>
                <c:pt idx="9">
                  <c:v>4.7404063205417603E-2</c:v>
                </c:pt>
                <c:pt idx="10">
                  <c:v>4.7404063205417603E-2</c:v>
                </c:pt>
                <c:pt idx="11">
                  <c:v>4.7404063205417603E-2</c:v>
                </c:pt>
                <c:pt idx="12">
                  <c:v>4.7404063205417603E-2</c:v>
                </c:pt>
                <c:pt idx="13">
                  <c:v>4.7404063205417603E-2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1"/>
          <c:order val="1"/>
          <c:tx>
            <c:v>bodem</c:v>
          </c:tx>
          <c:spPr>
            <a:gradFill>
              <a:gsLst>
                <a:gs pos="0">
                  <a:schemeClr val="tx1">
                    <a:lumMod val="80000"/>
                    <a:lumOff val="20000"/>
                  </a:schemeClr>
                </a:gs>
                <a:gs pos="100000">
                  <a:schemeClr val="tx1">
                    <a:lumMod val="100000"/>
                  </a:schemeClr>
                </a:gs>
              </a:gsLst>
              <a:lin ang="5400000" scaled="0"/>
            </a:gradFill>
            <a:ln>
              <a:noFill/>
            </a:ln>
          </c:spPr>
          <c:invertIfNegative val="0"/>
          <c:dPt>
            <c:idx val="0"/>
            <c:invertIfNegative val="0"/>
            <c:bubble3D val="0"/>
            <c:spPr>
              <a:gradFill flip="none" rotWithShape="1">
                <a:gsLst>
                  <a:gs pos="0">
                    <a:schemeClr val="bg1">
                      <a:lumMod val="65000"/>
                    </a:schemeClr>
                  </a:gs>
                  <a:gs pos="32000">
                    <a:schemeClr val="bg1">
                      <a:lumMod val="75000"/>
                    </a:schemeClr>
                  </a:gs>
                  <a:gs pos="39000">
                    <a:schemeClr val="tx1">
                      <a:lumMod val="85000"/>
                      <a:lumOff val="15000"/>
                    </a:schemeClr>
                  </a:gs>
                  <a:gs pos="47000">
                    <a:schemeClr val="bg1">
                      <a:lumMod val="65000"/>
                    </a:schemeClr>
                  </a:gs>
                  <a:gs pos="100000">
                    <a:schemeClr val="tx1"/>
                  </a:gs>
                  <a:gs pos="70000">
                    <a:schemeClr val="bg1">
                      <a:lumMod val="65000"/>
                    </a:schemeClr>
                  </a:gs>
                </a:gsLst>
                <a:lin ang="0" scaled="1"/>
                <a:tileRect/>
              </a:gradFill>
              <a:ln>
                <a:noFill/>
              </a:ln>
            </c:spPr>
          </c:dPt>
          <c:dPt>
            <c:idx val="8"/>
            <c:invertIfNegative val="0"/>
            <c:bubble3D val="0"/>
            <c:spPr>
              <a:gradFill flip="none" rotWithShape="1">
                <a:gsLst>
                  <a:gs pos="0">
                    <a:schemeClr val="tx1"/>
                  </a:gs>
                  <a:gs pos="98000">
                    <a:schemeClr val="tx1">
                      <a:lumMod val="100000"/>
                    </a:schemeClr>
                  </a:gs>
                  <a:gs pos="70000">
                    <a:schemeClr val="bg1">
                      <a:lumMod val="75000"/>
                    </a:schemeClr>
                  </a:gs>
                  <a:gs pos="60000">
                    <a:schemeClr val="tx1">
                      <a:lumMod val="75000"/>
                      <a:lumOff val="25000"/>
                    </a:schemeClr>
                  </a:gs>
                  <a:gs pos="49000">
                    <a:schemeClr val="bg1">
                      <a:lumMod val="75000"/>
                    </a:schemeClr>
                  </a:gs>
                  <a:gs pos="27000">
                    <a:schemeClr val="bg1">
                      <a:lumMod val="65000"/>
                    </a:schemeClr>
                  </a:gs>
                  <a:gs pos="94000">
                    <a:schemeClr val="tx1"/>
                  </a:gs>
                  <a:gs pos="93000">
                    <a:schemeClr val="bg1">
                      <a:lumMod val="75000"/>
                    </a:schemeClr>
                  </a:gs>
                </a:gsLst>
                <a:lin ang="0" scaled="1"/>
                <a:tileRect/>
              </a:gradFill>
              <a:ln>
                <a:noFill/>
              </a:ln>
            </c:spPr>
          </c:dPt>
          <c:val>
            <c:numRef>
              <c:f>Formules!$CP$24:$DS$24</c:f>
              <c:numCache>
                <c:formatCode>0.000</c:formatCode>
                <c:ptCount val="30"/>
                <c:pt idx="0">
                  <c:v>0.34012415349887126</c:v>
                </c:pt>
                <c:pt idx="1">
                  <c:v>0.34012415349887126</c:v>
                </c:pt>
                <c:pt idx="2">
                  <c:v>0.34012415349887126</c:v>
                </c:pt>
                <c:pt idx="3">
                  <c:v>0.34012415349887126</c:v>
                </c:pt>
                <c:pt idx="4">
                  <c:v>0.34012415349887126</c:v>
                </c:pt>
                <c:pt idx="5">
                  <c:v>0.34012415349887126</c:v>
                </c:pt>
                <c:pt idx="6">
                  <c:v>0.34012415349887126</c:v>
                </c:pt>
                <c:pt idx="7">
                  <c:v>0.34012415349887126</c:v>
                </c:pt>
                <c:pt idx="8">
                  <c:v>0.34012415349887126</c:v>
                </c:pt>
                <c:pt idx="9">
                  <c:v>0.34012415349887126</c:v>
                </c:pt>
                <c:pt idx="10">
                  <c:v>0.34012415349887126</c:v>
                </c:pt>
                <c:pt idx="11">
                  <c:v>0.34012415349887126</c:v>
                </c:pt>
                <c:pt idx="12">
                  <c:v>0.34012415349887126</c:v>
                </c:pt>
                <c:pt idx="13">
                  <c:v>0.34012415349887126</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2"/>
          <c:order val="2"/>
          <c:tx>
            <c:v>Profiel midden</c:v>
          </c:tx>
          <c:spPr>
            <a:gradFill>
              <a:gsLst>
                <a:gs pos="30000">
                  <a:schemeClr val="bg1">
                    <a:lumMod val="75000"/>
                  </a:schemeClr>
                </a:gs>
                <a:gs pos="45000">
                  <a:schemeClr val="bg1">
                    <a:lumMod val="50000"/>
                  </a:schemeClr>
                </a:gs>
                <a:gs pos="55000">
                  <a:schemeClr val="bg1">
                    <a:lumMod val="50000"/>
                  </a:schemeClr>
                </a:gs>
                <a:gs pos="50000">
                  <a:srgbClr val="141413"/>
                </a:gs>
                <a:gs pos="75000">
                  <a:schemeClr val="bg1">
                    <a:lumMod val="75000"/>
                  </a:schemeClr>
                </a:gs>
                <a:gs pos="80000">
                  <a:srgbClr val="141414"/>
                </a:gs>
                <a:gs pos="85000">
                  <a:schemeClr val="bg1">
                    <a:lumMod val="75000"/>
                  </a:schemeClr>
                </a:gs>
                <a:gs pos="0">
                  <a:schemeClr val="bg1">
                    <a:lumMod val="85000"/>
                  </a:schemeClr>
                </a:gs>
                <a:gs pos="25000">
                  <a:srgbClr val="323232"/>
                </a:gs>
                <a:gs pos="20000">
                  <a:schemeClr val="bg1">
                    <a:lumMod val="75000"/>
                  </a:schemeClr>
                </a:gs>
              </a:gsLst>
              <a:lin ang="5400000" scaled="0"/>
            </a:gradFill>
            <a:ln>
              <a:noFill/>
            </a:ln>
          </c:spPr>
          <c:invertIfNegative val="0"/>
          <c:val>
            <c:numRef>
              <c:f>Formules!$CP$25:$DS$25</c:f>
              <c:numCache>
                <c:formatCode>0.000</c:formatCode>
                <c:ptCount val="30"/>
                <c:pt idx="0">
                  <c:v>5.6094808126410829E-2</c:v>
                </c:pt>
                <c:pt idx="1">
                  <c:v>5.6094808126410829E-2</c:v>
                </c:pt>
                <c:pt idx="2">
                  <c:v>5.6094808126410829E-2</c:v>
                </c:pt>
                <c:pt idx="3">
                  <c:v>5.6094808126410829E-2</c:v>
                </c:pt>
                <c:pt idx="4">
                  <c:v>5.6094808126410829E-2</c:v>
                </c:pt>
                <c:pt idx="5">
                  <c:v>5.6094808126410829E-2</c:v>
                </c:pt>
                <c:pt idx="6">
                  <c:v>5.6094808126410829E-2</c:v>
                </c:pt>
                <c:pt idx="7">
                  <c:v>5.6094808126410829E-2</c:v>
                </c:pt>
                <c:pt idx="8">
                  <c:v>5.6094808126410829E-2</c:v>
                </c:pt>
                <c:pt idx="9">
                  <c:v>5.6094808126410829E-2</c:v>
                </c:pt>
                <c:pt idx="10">
                  <c:v>5.6094808126410829E-2</c:v>
                </c:pt>
                <c:pt idx="11">
                  <c:v>5.6094808126410829E-2</c:v>
                </c:pt>
                <c:pt idx="12">
                  <c:v>5.6094808126410829E-2</c:v>
                </c:pt>
                <c:pt idx="13">
                  <c:v>5.6094808126410829E-2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8"/>
          <c:order val="3"/>
          <c:tx>
            <c:v>Deksel</c:v>
          </c:tx>
          <c:spPr>
            <a:gradFill flip="none" rotWithShape="1">
              <a:gsLst>
                <a:gs pos="0">
                  <a:schemeClr val="tx1">
                    <a:lumMod val="70000"/>
                    <a:lumOff val="30000"/>
                  </a:schemeClr>
                </a:gs>
                <a:gs pos="100000">
                  <a:schemeClr val="tx1">
                    <a:lumMod val="80000"/>
                    <a:lumOff val="20000"/>
                  </a:schemeClr>
                </a:gs>
              </a:gsLst>
              <a:lin ang="5400000" scaled="0"/>
              <a:tileRect/>
            </a:gradFill>
            <a:ln w="0">
              <a:noFill/>
            </a:ln>
            <a:effectLst/>
          </c:spPr>
          <c:invertIfNegative val="0"/>
          <c:dPt>
            <c:idx val="0"/>
            <c:invertIfNegative val="0"/>
            <c:bubble3D val="0"/>
            <c:spPr>
              <a:gradFill flip="none" rotWithShape="1">
                <a:gsLst>
                  <a:gs pos="73000">
                    <a:schemeClr val="bg1">
                      <a:lumMod val="65000"/>
                    </a:schemeClr>
                  </a:gs>
                  <a:gs pos="48000">
                    <a:srgbClr val="BFBFBF"/>
                  </a:gs>
                  <a:gs pos="40000">
                    <a:schemeClr val="tx1">
                      <a:lumMod val="85000"/>
                      <a:lumOff val="15000"/>
                    </a:schemeClr>
                  </a:gs>
                  <a:gs pos="32000">
                    <a:srgbClr val="BFBFBF"/>
                  </a:gs>
                  <a:gs pos="0">
                    <a:schemeClr val="bg1">
                      <a:lumMod val="75000"/>
                    </a:schemeClr>
                  </a:gs>
                  <a:gs pos="100000">
                    <a:schemeClr val="tx1">
                      <a:lumMod val="80000"/>
                      <a:lumOff val="20000"/>
                    </a:schemeClr>
                  </a:gs>
                </a:gsLst>
                <a:lin ang="0" scaled="1"/>
                <a:tileRect/>
              </a:gradFill>
              <a:ln w="0">
                <a:noFill/>
              </a:ln>
              <a:effectLst/>
              <a:scene3d>
                <a:camera prst="orthographicFront"/>
                <a:lightRig rig="threePt" dir="t"/>
              </a:scene3d>
              <a:sp3d>
                <a:bevelT w="0" h="0"/>
                <a:bevelB w="0" h="0"/>
              </a:sp3d>
            </c:spPr>
          </c:dPt>
          <c:dPt>
            <c:idx val="8"/>
            <c:invertIfNegative val="0"/>
            <c:bubble3D val="0"/>
            <c:spPr>
              <a:gradFill flip="none" rotWithShape="1">
                <a:gsLst>
                  <a:gs pos="0">
                    <a:schemeClr val="tx1">
                      <a:lumMod val="70000"/>
                      <a:lumOff val="30000"/>
                    </a:schemeClr>
                  </a:gs>
                  <a:gs pos="94000">
                    <a:srgbClr val="343434"/>
                  </a:gs>
                  <a:gs pos="93000">
                    <a:schemeClr val="bg1">
                      <a:lumMod val="75000"/>
                    </a:schemeClr>
                  </a:gs>
                  <a:gs pos="52000">
                    <a:schemeClr val="bg1">
                      <a:lumMod val="75000"/>
                    </a:schemeClr>
                  </a:gs>
                  <a:gs pos="68000">
                    <a:schemeClr val="bg1">
                      <a:lumMod val="75000"/>
                    </a:schemeClr>
                  </a:gs>
                  <a:gs pos="60000">
                    <a:schemeClr val="tx1"/>
                  </a:gs>
                  <a:gs pos="25000">
                    <a:schemeClr val="bg1">
                      <a:lumMod val="65000"/>
                    </a:schemeClr>
                  </a:gs>
                  <a:gs pos="100000">
                    <a:schemeClr val="tx1">
                      <a:lumMod val="80000"/>
                      <a:lumOff val="20000"/>
                    </a:schemeClr>
                  </a:gs>
                </a:gsLst>
                <a:lin ang="0" scaled="1"/>
                <a:tileRect/>
              </a:gradFill>
              <a:ln w="0">
                <a:noFill/>
              </a:ln>
              <a:effectLst/>
            </c:spPr>
          </c:dPt>
          <c:val>
            <c:numRef>
              <c:f>Formules!$CP$23:$DS$23</c:f>
              <c:numCache>
                <c:formatCode>0.000</c:formatCode>
                <c:ptCount val="30"/>
                <c:pt idx="0">
                  <c:v>5.0959367945823918E-2</c:v>
                </c:pt>
                <c:pt idx="1">
                  <c:v>5.0959367945823918E-2</c:v>
                </c:pt>
                <c:pt idx="2">
                  <c:v>5.0959367945823918E-2</c:v>
                </c:pt>
                <c:pt idx="3">
                  <c:v>5.0959367945823918E-2</c:v>
                </c:pt>
                <c:pt idx="4">
                  <c:v>5.0959367945823918E-2</c:v>
                </c:pt>
                <c:pt idx="5">
                  <c:v>5.0959367945823918E-2</c:v>
                </c:pt>
                <c:pt idx="6">
                  <c:v>5.0959367945823918E-2</c:v>
                </c:pt>
                <c:pt idx="7">
                  <c:v>5.0959367945823918E-2</c:v>
                </c:pt>
                <c:pt idx="8">
                  <c:v>5.0959367945823918E-2</c:v>
                </c:pt>
                <c:pt idx="9">
                  <c:v>5.0959367945823918E-2</c:v>
                </c:pt>
                <c:pt idx="10">
                  <c:v>5.0959367945823918E-2</c:v>
                </c:pt>
                <c:pt idx="11">
                  <c:v>5.0959367945823918E-2</c:v>
                </c:pt>
                <c:pt idx="12">
                  <c:v>5.0959367945823918E-2</c:v>
                </c:pt>
                <c:pt idx="13">
                  <c:v>5.0959367945823918E-2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9"/>
          <c:order val="4"/>
          <c:tx>
            <c:v>Profiel top</c:v>
          </c:tx>
          <c:spPr>
            <a:gradFill>
              <a:gsLst>
                <a:gs pos="2000">
                  <a:schemeClr val="tx1">
                    <a:lumMod val="100000"/>
                  </a:schemeClr>
                </a:gs>
                <a:gs pos="0">
                  <a:schemeClr val="tx1"/>
                </a:gs>
                <a:gs pos="59000">
                  <a:srgbClr val="BFBFBF"/>
                </a:gs>
                <a:gs pos="50000">
                  <a:srgbClr val="141414"/>
                </a:gs>
                <a:gs pos="41000">
                  <a:srgbClr val="BFBFBF"/>
                </a:gs>
                <a:gs pos="100000">
                  <a:schemeClr val="bg1">
                    <a:lumMod val="75000"/>
                  </a:schemeClr>
                </a:gs>
                <a:gs pos="10000">
                  <a:schemeClr val="bg1">
                    <a:lumMod val="75000"/>
                  </a:schemeClr>
                </a:gs>
              </a:gsLst>
              <a:lin ang="5400000" scaled="0"/>
            </a:gradFill>
          </c:spPr>
          <c:invertIfNegative val="0"/>
          <c:val>
            <c:numRef>
              <c:f>Formules!$CP$26:$DS$26</c:f>
              <c:numCache>
                <c:formatCode>0.000</c:formatCode>
                <c:ptCount val="30"/>
                <c:pt idx="0">
                  <c:v>4.7404063205417603E-2</c:v>
                </c:pt>
                <c:pt idx="1">
                  <c:v>4.7404063205417603E-2</c:v>
                </c:pt>
                <c:pt idx="2">
                  <c:v>4.7404063205417603E-2</c:v>
                </c:pt>
                <c:pt idx="3">
                  <c:v>4.7404063205417603E-2</c:v>
                </c:pt>
                <c:pt idx="4">
                  <c:v>4.7404063205417603E-2</c:v>
                </c:pt>
                <c:pt idx="5">
                  <c:v>4.7404063205417603E-2</c:v>
                </c:pt>
                <c:pt idx="6">
                  <c:v>4.7404063205417603E-2</c:v>
                </c:pt>
                <c:pt idx="7">
                  <c:v>4.7404063205417603E-2</c:v>
                </c:pt>
                <c:pt idx="8">
                  <c:v>4.7404063205417603E-2</c:v>
                </c:pt>
                <c:pt idx="9">
                  <c:v>4.7404063205417603E-2</c:v>
                </c:pt>
                <c:pt idx="10">
                  <c:v>4.7404063205417603E-2</c:v>
                </c:pt>
                <c:pt idx="11">
                  <c:v>4.7404063205417603E-2</c:v>
                </c:pt>
                <c:pt idx="12">
                  <c:v>4.7404063205417603E-2</c:v>
                </c:pt>
                <c:pt idx="13">
                  <c:v>4.7404063205417603E-2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dLbls>
          <c:showLegendKey val="0"/>
          <c:showVal val="0"/>
          <c:showCatName val="0"/>
          <c:showSerName val="0"/>
          <c:showPercent val="0"/>
          <c:showBubbleSize val="0"/>
        </c:dLbls>
        <c:gapWidth val="0"/>
        <c:gapDepth val="0"/>
        <c:shape val="box"/>
        <c:axId val="771204848"/>
        <c:axId val="562802144"/>
        <c:axId val="0"/>
      </c:bar3DChart>
      <c:catAx>
        <c:axId val="771204848"/>
        <c:scaling>
          <c:orientation val="minMax"/>
        </c:scaling>
        <c:delete val="0"/>
        <c:axPos val="b"/>
        <c:majorTickMark val="out"/>
        <c:minorTickMark val="none"/>
        <c:tickLblPos val="none"/>
        <c:spPr>
          <a:noFill/>
          <a:ln>
            <a:noFill/>
          </a:ln>
        </c:spPr>
        <c:crossAx val="562802144"/>
        <c:crosses val="autoZero"/>
        <c:auto val="1"/>
        <c:lblAlgn val="ctr"/>
        <c:lblOffset val="100"/>
        <c:noMultiLvlLbl val="0"/>
      </c:catAx>
      <c:valAx>
        <c:axId val="562802144"/>
        <c:scaling>
          <c:orientation val="minMax"/>
          <c:max val="1"/>
          <c:min val="0"/>
        </c:scaling>
        <c:delete val="0"/>
        <c:axPos val="l"/>
        <c:majorGridlines>
          <c:spPr>
            <a:ln>
              <a:noFill/>
            </a:ln>
          </c:spPr>
        </c:majorGridlines>
        <c:numFmt formatCode="General" sourceLinked="0"/>
        <c:majorTickMark val="out"/>
        <c:minorTickMark val="none"/>
        <c:tickLblPos val="none"/>
        <c:spPr>
          <a:noFill/>
          <a:ln>
            <a:noFill/>
          </a:ln>
        </c:spPr>
        <c:crossAx val="771204848"/>
        <c:crosses val="autoZero"/>
        <c:crossBetween val="between"/>
      </c:valAx>
      <c:spPr>
        <a:solidFill>
          <a:srgbClr val="73533C"/>
        </a:solidFill>
        <a:ln w="3175"/>
        <a:effectLst>
          <a:glow>
            <a:schemeClr val="accent1">
              <a:alpha val="40000"/>
            </a:schemeClr>
          </a:glow>
        </a:effectLst>
      </c:spPr>
    </c:plotArea>
    <c:plotVisOnly val="1"/>
    <c:dispBlanksAs val="gap"/>
    <c:showDLblsOverMax val="0"/>
  </c:chart>
  <c:spPr>
    <a:noFill/>
    <a:ln>
      <a:noFill/>
    </a:ln>
    <a:effectLst/>
    <a:scene3d>
      <a:camera prst="orthographicFront"/>
      <a:lightRig rig="threePt" dir="t"/>
    </a:scene3d>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30"/>
      <c:depthPercent val="730"/>
      <c:rAngAx val="1"/>
    </c:view3D>
    <c:floor>
      <c:thickness val="0"/>
      <c:spPr>
        <a:solidFill>
          <a:srgbClr val="986E4E"/>
        </a:solidFill>
        <a:ln>
          <a:noFill/>
        </a:ln>
      </c:spPr>
    </c:floor>
    <c:sideWall>
      <c:thickness val="0"/>
      <c:spPr>
        <a:solidFill>
          <a:srgbClr val="B28566"/>
        </a:solidFill>
        <a:ln w="0">
          <a:solidFill>
            <a:srgbClr val="73533C"/>
          </a:solidFill>
        </a:ln>
        <a:scene3d>
          <a:camera prst="orthographicFront"/>
          <a:lightRig rig="threePt" dir="t"/>
        </a:scene3d>
        <a:sp3d/>
      </c:spPr>
    </c:sideWall>
    <c:backWall>
      <c:thickness val="0"/>
      <c:spPr>
        <a:solidFill>
          <a:srgbClr val="73533C"/>
        </a:solidFill>
        <a:ln w="0">
          <a:noFill/>
        </a:ln>
        <a:scene3d>
          <a:camera prst="orthographicFront"/>
          <a:lightRig rig="threePt" dir="t"/>
        </a:scene3d>
      </c:spPr>
    </c:backWall>
    <c:plotArea>
      <c:layout>
        <c:manualLayout>
          <c:layoutTarget val="inner"/>
          <c:xMode val="edge"/>
          <c:yMode val="edge"/>
          <c:x val="3.6791758646063282E-3"/>
          <c:y val="0"/>
          <c:w val="0.99632079201396895"/>
          <c:h val="0.97796314523184602"/>
        </c:manualLayout>
      </c:layout>
      <c:bar3DChart>
        <c:barDir val="col"/>
        <c:grouping val="stacked"/>
        <c:varyColors val="0"/>
        <c:ser>
          <c:idx val="0"/>
          <c:order val="0"/>
          <c:tx>
            <c:v>Profiel onder</c:v>
          </c:tx>
          <c:spPr>
            <a:gradFill>
              <a:gsLst>
                <a:gs pos="4000">
                  <a:schemeClr val="tx1"/>
                </a:gs>
                <a:gs pos="0">
                  <a:schemeClr val="tx1"/>
                </a:gs>
                <a:gs pos="58000">
                  <a:srgbClr val="BFBFBF"/>
                </a:gs>
                <a:gs pos="50000">
                  <a:schemeClr val="tx1"/>
                </a:gs>
                <a:gs pos="42000">
                  <a:srgbClr val="BFBFBF"/>
                </a:gs>
                <a:gs pos="100000">
                  <a:schemeClr val="bg1">
                    <a:lumMod val="75000"/>
                  </a:schemeClr>
                </a:gs>
                <a:gs pos="10000">
                  <a:schemeClr val="bg1">
                    <a:lumMod val="75000"/>
                  </a:schemeClr>
                </a:gs>
              </a:gsLst>
              <a:lin ang="5400000" scaled="0"/>
            </a:gradFill>
          </c:spPr>
          <c:invertIfNegative val="0"/>
          <c:val>
            <c:numRef>
              <c:f>Formules!$CP$26:$DS$26</c:f>
              <c:numCache>
                <c:formatCode>0.000</c:formatCode>
                <c:ptCount val="30"/>
                <c:pt idx="0">
                  <c:v>4.7404063205417603E-2</c:v>
                </c:pt>
                <c:pt idx="1">
                  <c:v>4.7404063205417603E-2</c:v>
                </c:pt>
                <c:pt idx="2">
                  <c:v>4.7404063205417603E-2</c:v>
                </c:pt>
                <c:pt idx="3">
                  <c:v>4.7404063205417603E-2</c:v>
                </c:pt>
                <c:pt idx="4">
                  <c:v>4.7404063205417603E-2</c:v>
                </c:pt>
                <c:pt idx="5">
                  <c:v>4.7404063205417603E-2</c:v>
                </c:pt>
                <c:pt idx="6">
                  <c:v>4.7404063205417603E-2</c:v>
                </c:pt>
                <c:pt idx="7">
                  <c:v>4.7404063205417603E-2</c:v>
                </c:pt>
                <c:pt idx="8">
                  <c:v>4.7404063205417603E-2</c:v>
                </c:pt>
                <c:pt idx="9">
                  <c:v>4.7404063205417603E-2</c:v>
                </c:pt>
                <c:pt idx="10">
                  <c:v>4.7404063205417603E-2</c:v>
                </c:pt>
                <c:pt idx="11">
                  <c:v>4.7404063205417603E-2</c:v>
                </c:pt>
                <c:pt idx="12">
                  <c:v>4.7404063205417603E-2</c:v>
                </c:pt>
                <c:pt idx="13">
                  <c:v>4.7404063205417603E-2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1"/>
          <c:order val="1"/>
          <c:tx>
            <c:v>bodem</c:v>
          </c:tx>
          <c:spPr>
            <a:gradFill>
              <a:gsLst>
                <a:gs pos="0">
                  <a:schemeClr val="tx1">
                    <a:lumMod val="80000"/>
                    <a:lumOff val="20000"/>
                  </a:schemeClr>
                </a:gs>
                <a:gs pos="100000">
                  <a:schemeClr val="tx1">
                    <a:lumMod val="100000"/>
                  </a:schemeClr>
                </a:gs>
              </a:gsLst>
              <a:lin ang="5400000" scaled="0"/>
            </a:gradFill>
            <a:ln>
              <a:noFill/>
            </a:ln>
          </c:spPr>
          <c:invertIfNegative val="0"/>
          <c:dPt>
            <c:idx val="0"/>
            <c:invertIfNegative val="0"/>
            <c:bubble3D val="0"/>
            <c:spPr>
              <a:gradFill flip="none" rotWithShape="1">
                <a:gsLst>
                  <a:gs pos="0">
                    <a:schemeClr val="tx1">
                      <a:lumMod val="80000"/>
                      <a:lumOff val="20000"/>
                    </a:schemeClr>
                  </a:gs>
                  <a:gs pos="100000">
                    <a:schemeClr val="tx1"/>
                  </a:gs>
                </a:gsLst>
                <a:lin ang="5400000" scaled="1"/>
                <a:tileRect/>
              </a:gradFill>
              <a:ln>
                <a:noFill/>
              </a:ln>
            </c:spPr>
          </c:dPt>
          <c:dPt>
            <c:idx val="8"/>
            <c:invertIfNegative val="0"/>
            <c:bubble3D val="0"/>
            <c:spPr>
              <a:gradFill flip="none" rotWithShape="1">
                <a:gsLst>
                  <a:gs pos="0">
                    <a:schemeClr val="tx1">
                      <a:lumMod val="80000"/>
                      <a:lumOff val="20000"/>
                    </a:schemeClr>
                  </a:gs>
                  <a:gs pos="100000">
                    <a:schemeClr val="tx1">
                      <a:lumMod val="100000"/>
                    </a:schemeClr>
                  </a:gs>
                </a:gsLst>
                <a:lin ang="5400000" scaled="0"/>
                <a:tileRect/>
              </a:gradFill>
              <a:ln>
                <a:noFill/>
              </a:ln>
            </c:spPr>
          </c:dPt>
          <c:val>
            <c:numRef>
              <c:f>Formules!$CP$24:$DS$24</c:f>
              <c:numCache>
                <c:formatCode>0.000</c:formatCode>
                <c:ptCount val="30"/>
                <c:pt idx="0">
                  <c:v>0.34012415349887126</c:v>
                </c:pt>
                <c:pt idx="1">
                  <c:v>0.34012415349887126</c:v>
                </c:pt>
                <c:pt idx="2">
                  <c:v>0.34012415349887126</c:v>
                </c:pt>
                <c:pt idx="3">
                  <c:v>0.34012415349887126</c:v>
                </c:pt>
                <c:pt idx="4">
                  <c:v>0.34012415349887126</c:v>
                </c:pt>
                <c:pt idx="5">
                  <c:v>0.34012415349887126</c:v>
                </c:pt>
                <c:pt idx="6">
                  <c:v>0.34012415349887126</c:v>
                </c:pt>
                <c:pt idx="7">
                  <c:v>0.34012415349887126</c:v>
                </c:pt>
                <c:pt idx="8">
                  <c:v>0.34012415349887126</c:v>
                </c:pt>
                <c:pt idx="9">
                  <c:v>0.34012415349887126</c:v>
                </c:pt>
                <c:pt idx="10">
                  <c:v>0.34012415349887126</c:v>
                </c:pt>
                <c:pt idx="11">
                  <c:v>0.34012415349887126</c:v>
                </c:pt>
                <c:pt idx="12">
                  <c:v>0.34012415349887126</c:v>
                </c:pt>
                <c:pt idx="13">
                  <c:v>0.34012415349887126</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2"/>
          <c:order val="2"/>
          <c:tx>
            <c:v>Profiel midden</c:v>
          </c:tx>
          <c:spPr>
            <a:gradFill>
              <a:gsLst>
                <a:gs pos="30000">
                  <a:schemeClr val="bg1">
                    <a:lumMod val="75000"/>
                  </a:schemeClr>
                </a:gs>
                <a:gs pos="45000">
                  <a:schemeClr val="bg1">
                    <a:lumMod val="50000"/>
                  </a:schemeClr>
                </a:gs>
                <a:gs pos="55000">
                  <a:schemeClr val="bg1">
                    <a:lumMod val="50000"/>
                  </a:schemeClr>
                </a:gs>
                <a:gs pos="50000">
                  <a:srgbClr val="141413"/>
                </a:gs>
                <a:gs pos="75000">
                  <a:schemeClr val="bg1">
                    <a:lumMod val="75000"/>
                  </a:schemeClr>
                </a:gs>
                <a:gs pos="80000">
                  <a:srgbClr val="141414"/>
                </a:gs>
                <a:gs pos="85000">
                  <a:schemeClr val="bg1">
                    <a:lumMod val="75000"/>
                  </a:schemeClr>
                </a:gs>
                <a:gs pos="0">
                  <a:schemeClr val="bg1">
                    <a:lumMod val="85000"/>
                  </a:schemeClr>
                </a:gs>
                <a:gs pos="25000">
                  <a:srgbClr val="323232"/>
                </a:gs>
                <a:gs pos="20000">
                  <a:schemeClr val="bg1">
                    <a:lumMod val="75000"/>
                  </a:schemeClr>
                </a:gs>
              </a:gsLst>
              <a:lin ang="5400000" scaled="0"/>
            </a:gradFill>
            <a:ln>
              <a:noFill/>
            </a:ln>
          </c:spPr>
          <c:invertIfNegative val="0"/>
          <c:val>
            <c:numRef>
              <c:f>Formules!$CP$25:$DS$25</c:f>
              <c:numCache>
                <c:formatCode>0.000</c:formatCode>
                <c:ptCount val="30"/>
                <c:pt idx="0">
                  <c:v>5.6094808126410829E-2</c:v>
                </c:pt>
                <c:pt idx="1">
                  <c:v>5.6094808126410829E-2</c:v>
                </c:pt>
                <c:pt idx="2">
                  <c:v>5.6094808126410829E-2</c:v>
                </c:pt>
                <c:pt idx="3">
                  <c:v>5.6094808126410829E-2</c:v>
                </c:pt>
                <c:pt idx="4">
                  <c:v>5.6094808126410829E-2</c:v>
                </c:pt>
                <c:pt idx="5">
                  <c:v>5.6094808126410829E-2</c:v>
                </c:pt>
                <c:pt idx="6">
                  <c:v>5.6094808126410829E-2</c:v>
                </c:pt>
                <c:pt idx="7">
                  <c:v>5.6094808126410829E-2</c:v>
                </c:pt>
                <c:pt idx="8">
                  <c:v>5.6094808126410829E-2</c:v>
                </c:pt>
                <c:pt idx="9">
                  <c:v>5.6094808126410829E-2</c:v>
                </c:pt>
                <c:pt idx="10">
                  <c:v>5.6094808126410829E-2</c:v>
                </c:pt>
                <c:pt idx="11">
                  <c:v>5.6094808126410829E-2</c:v>
                </c:pt>
                <c:pt idx="12">
                  <c:v>5.6094808126410829E-2</c:v>
                </c:pt>
                <c:pt idx="13">
                  <c:v>5.6094808126410829E-2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8"/>
          <c:order val="3"/>
          <c:tx>
            <c:v>Deksel</c:v>
          </c:tx>
          <c:spPr>
            <a:gradFill flip="none" rotWithShape="1">
              <a:gsLst>
                <a:gs pos="0">
                  <a:schemeClr val="tx1">
                    <a:lumMod val="70000"/>
                    <a:lumOff val="30000"/>
                  </a:schemeClr>
                </a:gs>
                <a:gs pos="100000">
                  <a:schemeClr val="tx1">
                    <a:lumMod val="85000"/>
                    <a:lumOff val="15000"/>
                  </a:schemeClr>
                </a:gs>
              </a:gsLst>
              <a:lin ang="5400000" scaled="0"/>
              <a:tileRect/>
            </a:gradFill>
            <a:ln w="0">
              <a:noFill/>
            </a:ln>
            <a:effectLst/>
          </c:spPr>
          <c:invertIfNegative val="0"/>
          <c:dPt>
            <c:idx val="0"/>
            <c:invertIfNegative val="0"/>
            <c:bubble3D val="0"/>
            <c:spPr>
              <a:gradFill flip="none" rotWithShape="1">
                <a:gsLst>
                  <a:gs pos="0">
                    <a:schemeClr val="tx1">
                      <a:lumMod val="70000"/>
                      <a:lumOff val="30000"/>
                    </a:schemeClr>
                  </a:gs>
                  <a:gs pos="100000">
                    <a:schemeClr val="tx1">
                      <a:lumMod val="85000"/>
                      <a:lumOff val="15000"/>
                    </a:schemeClr>
                  </a:gs>
                </a:gsLst>
                <a:lin ang="5400000" scaled="0"/>
                <a:tileRect/>
              </a:gradFill>
              <a:ln w="0">
                <a:noFill/>
              </a:ln>
              <a:effectLst/>
              <a:scene3d>
                <a:camera prst="orthographicFront"/>
                <a:lightRig rig="threePt" dir="t"/>
              </a:scene3d>
              <a:sp3d>
                <a:bevelT w="0" h="0"/>
                <a:bevelB w="0" h="0"/>
              </a:sp3d>
            </c:spPr>
          </c:dPt>
          <c:dPt>
            <c:idx val="8"/>
            <c:invertIfNegative val="0"/>
            <c:bubble3D val="0"/>
          </c:dPt>
          <c:val>
            <c:numRef>
              <c:f>Formules!$CP$23:$DS$23</c:f>
              <c:numCache>
                <c:formatCode>0.000</c:formatCode>
                <c:ptCount val="30"/>
                <c:pt idx="0">
                  <c:v>5.0959367945823918E-2</c:v>
                </c:pt>
                <c:pt idx="1">
                  <c:v>5.0959367945823918E-2</c:v>
                </c:pt>
                <c:pt idx="2">
                  <c:v>5.0959367945823918E-2</c:v>
                </c:pt>
                <c:pt idx="3">
                  <c:v>5.0959367945823918E-2</c:v>
                </c:pt>
                <c:pt idx="4">
                  <c:v>5.0959367945823918E-2</c:v>
                </c:pt>
                <c:pt idx="5">
                  <c:v>5.0959367945823918E-2</c:v>
                </c:pt>
                <c:pt idx="6">
                  <c:v>5.0959367945823918E-2</c:v>
                </c:pt>
                <c:pt idx="7">
                  <c:v>5.0959367945823918E-2</c:v>
                </c:pt>
                <c:pt idx="8">
                  <c:v>5.0959367945823918E-2</c:v>
                </c:pt>
                <c:pt idx="9">
                  <c:v>5.0959367945823918E-2</c:v>
                </c:pt>
                <c:pt idx="10">
                  <c:v>5.0959367945823918E-2</c:v>
                </c:pt>
                <c:pt idx="11">
                  <c:v>5.0959367945823918E-2</c:v>
                </c:pt>
                <c:pt idx="12">
                  <c:v>5.0959367945823918E-2</c:v>
                </c:pt>
                <c:pt idx="13">
                  <c:v>5.0959367945823918E-2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9"/>
          <c:order val="4"/>
          <c:tx>
            <c:v>Profiel top</c:v>
          </c:tx>
          <c:spPr>
            <a:gradFill>
              <a:gsLst>
                <a:gs pos="0">
                  <a:srgbClr val="141414">
                    <a:lumMod val="80000"/>
                    <a:lumOff val="20000"/>
                  </a:srgbClr>
                </a:gs>
                <a:gs pos="62000">
                  <a:schemeClr val="bg1">
                    <a:lumMod val="85000"/>
                  </a:schemeClr>
                </a:gs>
                <a:gs pos="50000">
                  <a:srgbClr val="141414"/>
                </a:gs>
                <a:gs pos="38000">
                  <a:schemeClr val="bg1">
                    <a:lumMod val="85000"/>
                  </a:schemeClr>
                </a:gs>
                <a:gs pos="100000">
                  <a:schemeClr val="bg1">
                    <a:lumMod val="75000"/>
                  </a:schemeClr>
                </a:gs>
                <a:gs pos="13000">
                  <a:srgbClr val="141414">
                    <a:lumMod val="80000"/>
                    <a:lumOff val="20000"/>
                  </a:srgbClr>
                </a:gs>
                <a:gs pos="14000">
                  <a:schemeClr val="bg1">
                    <a:lumMod val="75000"/>
                  </a:schemeClr>
                </a:gs>
              </a:gsLst>
              <a:lin ang="5400000" scaled="0"/>
            </a:gradFill>
          </c:spPr>
          <c:invertIfNegative val="0"/>
          <c:val>
            <c:numRef>
              <c:f>Formules!$CP$26:$DS$26</c:f>
              <c:numCache>
                <c:formatCode>0.000</c:formatCode>
                <c:ptCount val="30"/>
                <c:pt idx="0">
                  <c:v>4.7404063205417603E-2</c:v>
                </c:pt>
                <c:pt idx="1">
                  <c:v>4.7404063205417603E-2</c:v>
                </c:pt>
                <c:pt idx="2">
                  <c:v>4.7404063205417603E-2</c:v>
                </c:pt>
                <c:pt idx="3">
                  <c:v>4.7404063205417603E-2</c:v>
                </c:pt>
                <c:pt idx="4">
                  <c:v>4.7404063205417603E-2</c:v>
                </c:pt>
                <c:pt idx="5">
                  <c:v>4.7404063205417603E-2</c:v>
                </c:pt>
                <c:pt idx="6">
                  <c:v>4.7404063205417603E-2</c:v>
                </c:pt>
                <c:pt idx="7">
                  <c:v>4.7404063205417603E-2</c:v>
                </c:pt>
                <c:pt idx="8">
                  <c:v>4.7404063205417603E-2</c:v>
                </c:pt>
                <c:pt idx="9">
                  <c:v>4.7404063205417603E-2</c:v>
                </c:pt>
                <c:pt idx="10">
                  <c:v>4.7404063205417603E-2</c:v>
                </c:pt>
                <c:pt idx="11">
                  <c:v>4.7404063205417603E-2</c:v>
                </c:pt>
                <c:pt idx="12">
                  <c:v>4.7404063205417603E-2</c:v>
                </c:pt>
                <c:pt idx="13">
                  <c:v>4.7404063205417603E-2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dLbls>
          <c:showLegendKey val="0"/>
          <c:showVal val="0"/>
          <c:showCatName val="0"/>
          <c:showSerName val="0"/>
          <c:showPercent val="0"/>
          <c:showBubbleSize val="0"/>
        </c:dLbls>
        <c:gapWidth val="0"/>
        <c:gapDepth val="0"/>
        <c:shape val="box"/>
        <c:axId val="562800184"/>
        <c:axId val="562802928"/>
        <c:axId val="0"/>
      </c:bar3DChart>
      <c:catAx>
        <c:axId val="562800184"/>
        <c:scaling>
          <c:orientation val="minMax"/>
        </c:scaling>
        <c:delete val="1"/>
        <c:axPos val="b"/>
        <c:majorTickMark val="out"/>
        <c:minorTickMark val="none"/>
        <c:tickLblPos val="none"/>
        <c:crossAx val="562802928"/>
        <c:crosses val="autoZero"/>
        <c:auto val="1"/>
        <c:lblAlgn val="ctr"/>
        <c:lblOffset val="100"/>
        <c:noMultiLvlLbl val="0"/>
      </c:catAx>
      <c:valAx>
        <c:axId val="562802928"/>
        <c:scaling>
          <c:orientation val="minMax"/>
          <c:max val="1"/>
          <c:min val="0"/>
        </c:scaling>
        <c:delete val="1"/>
        <c:axPos val="l"/>
        <c:majorGridlines>
          <c:spPr>
            <a:ln>
              <a:noFill/>
            </a:ln>
          </c:spPr>
        </c:majorGridlines>
        <c:numFmt formatCode="General" sourceLinked="0"/>
        <c:majorTickMark val="out"/>
        <c:minorTickMark val="none"/>
        <c:tickLblPos val="none"/>
        <c:crossAx val="562800184"/>
        <c:crosses val="autoZero"/>
        <c:crossBetween val="between"/>
      </c:valAx>
      <c:spPr>
        <a:solidFill>
          <a:srgbClr val="73533C"/>
        </a:solidFill>
        <a:ln w="3175"/>
        <a:effectLst>
          <a:glow>
            <a:schemeClr val="accent1">
              <a:alpha val="40000"/>
            </a:schemeClr>
          </a:glow>
        </a:effectLst>
      </c:spPr>
    </c:plotArea>
    <c:plotVisOnly val="1"/>
    <c:dispBlanksAs val="gap"/>
    <c:showDLblsOverMax val="0"/>
  </c:chart>
  <c:spPr>
    <a:noFill/>
    <a:ln>
      <a:noFill/>
    </a:ln>
    <a:effectLst/>
    <a:scene3d>
      <a:camera prst="orthographicFront"/>
      <a:lightRig rig="threePt" dir="t"/>
    </a:scene3d>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30"/>
      <c:depthPercent val="730"/>
      <c:rAngAx val="1"/>
    </c:view3D>
    <c:floor>
      <c:thickness val="0"/>
      <c:spPr>
        <a:solidFill>
          <a:srgbClr val="986E4E"/>
        </a:solidFill>
        <a:ln>
          <a:noFill/>
        </a:ln>
      </c:spPr>
    </c:floor>
    <c:sideWall>
      <c:thickness val="0"/>
      <c:spPr>
        <a:solidFill>
          <a:srgbClr val="B28566"/>
        </a:solidFill>
        <a:ln w="0">
          <a:solidFill>
            <a:srgbClr val="73533C"/>
          </a:solidFill>
        </a:ln>
        <a:scene3d>
          <a:camera prst="orthographicFront"/>
          <a:lightRig rig="threePt" dir="t"/>
        </a:scene3d>
        <a:sp3d/>
      </c:spPr>
    </c:sideWall>
    <c:backWall>
      <c:thickness val="0"/>
      <c:spPr>
        <a:solidFill>
          <a:srgbClr val="73533C"/>
        </a:solidFill>
        <a:ln w="0">
          <a:noFill/>
        </a:ln>
        <a:scene3d>
          <a:camera prst="orthographicFront"/>
          <a:lightRig rig="threePt" dir="t"/>
        </a:scene3d>
      </c:spPr>
    </c:backWall>
    <c:plotArea>
      <c:layout>
        <c:manualLayout>
          <c:layoutTarget val="inner"/>
          <c:xMode val="edge"/>
          <c:yMode val="edge"/>
          <c:x val="3.6791758646063282E-3"/>
          <c:y val="0"/>
          <c:w val="0.99632079201396895"/>
          <c:h val="0.97796314523184602"/>
        </c:manualLayout>
      </c:layout>
      <c:bar3DChart>
        <c:barDir val="col"/>
        <c:grouping val="stacked"/>
        <c:varyColors val="0"/>
        <c:ser>
          <c:idx val="0"/>
          <c:order val="0"/>
          <c:tx>
            <c:v>Profiel onder</c:v>
          </c:tx>
          <c:spPr>
            <a:gradFill>
              <a:gsLst>
                <a:gs pos="4000">
                  <a:schemeClr val="tx1"/>
                </a:gs>
                <a:gs pos="0">
                  <a:schemeClr val="tx1"/>
                </a:gs>
                <a:gs pos="58000">
                  <a:srgbClr val="BFBFBF"/>
                </a:gs>
                <a:gs pos="50000">
                  <a:schemeClr val="tx1"/>
                </a:gs>
                <a:gs pos="42000">
                  <a:srgbClr val="BFBFBF"/>
                </a:gs>
                <a:gs pos="100000">
                  <a:schemeClr val="bg1">
                    <a:lumMod val="75000"/>
                  </a:schemeClr>
                </a:gs>
                <a:gs pos="10000">
                  <a:schemeClr val="bg1">
                    <a:lumMod val="75000"/>
                  </a:schemeClr>
                </a:gs>
              </a:gsLst>
              <a:lin ang="5400000" scaled="0"/>
            </a:gradFill>
          </c:spPr>
          <c:invertIfNegative val="0"/>
          <c:val>
            <c:numRef>
              <c:f>Formules!$CP$26:$DS$26</c:f>
              <c:numCache>
                <c:formatCode>0.000</c:formatCode>
                <c:ptCount val="30"/>
                <c:pt idx="0">
                  <c:v>4.7404063205417603E-2</c:v>
                </c:pt>
                <c:pt idx="1">
                  <c:v>4.7404063205417603E-2</c:v>
                </c:pt>
                <c:pt idx="2">
                  <c:v>4.7404063205417603E-2</c:v>
                </c:pt>
                <c:pt idx="3">
                  <c:v>4.7404063205417603E-2</c:v>
                </c:pt>
                <c:pt idx="4">
                  <c:v>4.7404063205417603E-2</c:v>
                </c:pt>
                <c:pt idx="5">
                  <c:v>4.7404063205417603E-2</c:v>
                </c:pt>
                <c:pt idx="6">
                  <c:v>4.7404063205417603E-2</c:v>
                </c:pt>
                <c:pt idx="7">
                  <c:v>4.7404063205417603E-2</c:v>
                </c:pt>
                <c:pt idx="8">
                  <c:v>4.7404063205417603E-2</c:v>
                </c:pt>
                <c:pt idx="9">
                  <c:v>4.7404063205417603E-2</c:v>
                </c:pt>
                <c:pt idx="10">
                  <c:v>4.7404063205417603E-2</c:v>
                </c:pt>
                <c:pt idx="11">
                  <c:v>4.7404063205417603E-2</c:v>
                </c:pt>
                <c:pt idx="12">
                  <c:v>4.7404063205417603E-2</c:v>
                </c:pt>
                <c:pt idx="13">
                  <c:v>4.7404063205417603E-2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1"/>
          <c:order val="1"/>
          <c:tx>
            <c:v>bodem</c:v>
          </c:tx>
          <c:spPr>
            <a:gradFill>
              <a:gsLst>
                <a:gs pos="0">
                  <a:schemeClr val="tx1">
                    <a:lumMod val="80000"/>
                    <a:lumOff val="20000"/>
                  </a:schemeClr>
                </a:gs>
                <a:gs pos="100000">
                  <a:schemeClr val="tx1">
                    <a:lumMod val="100000"/>
                  </a:schemeClr>
                </a:gs>
              </a:gsLst>
              <a:lin ang="5400000" scaled="0"/>
            </a:gradFill>
            <a:ln>
              <a:noFill/>
            </a:ln>
          </c:spPr>
          <c:invertIfNegative val="0"/>
          <c:dPt>
            <c:idx val="0"/>
            <c:invertIfNegative val="0"/>
            <c:bubble3D val="0"/>
            <c:spPr>
              <a:gradFill flip="none" rotWithShape="1">
                <a:gsLst>
                  <a:gs pos="0">
                    <a:schemeClr val="tx1">
                      <a:lumMod val="80000"/>
                      <a:lumOff val="20000"/>
                    </a:schemeClr>
                  </a:gs>
                  <a:gs pos="100000">
                    <a:schemeClr val="tx1"/>
                  </a:gs>
                </a:gsLst>
                <a:lin ang="5400000" scaled="1"/>
                <a:tileRect/>
              </a:gradFill>
              <a:ln>
                <a:noFill/>
              </a:ln>
            </c:spPr>
          </c:dPt>
          <c:dPt>
            <c:idx val="8"/>
            <c:invertIfNegative val="0"/>
            <c:bubble3D val="0"/>
            <c:spPr>
              <a:gradFill flip="none" rotWithShape="1">
                <a:gsLst>
                  <a:gs pos="0">
                    <a:schemeClr val="tx1">
                      <a:lumMod val="80000"/>
                      <a:lumOff val="20000"/>
                    </a:schemeClr>
                  </a:gs>
                  <a:gs pos="100000">
                    <a:schemeClr val="tx1">
                      <a:lumMod val="100000"/>
                    </a:schemeClr>
                  </a:gs>
                </a:gsLst>
                <a:lin ang="5400000" scaled="0"/>
                <a:tileRect/>
              </a:gradFill>
              <a:ln>
                <a:noFill/>
              </a:ln>
            </c:spPr>
          </c:dPt>
          <c:val>
            <c:numRef>
              <c:f>Formules!$CP$24:$DS$24</c:f>
              <c:numCache>
                <c:formatCode>0.000</c:formatCode>
                <c:ptCount val="30"/>
                <c:pt idx="0">
                  <c:v>0.34012415349887126</c:v>
                </c:pt>
                <c:pt idx="1">
                  <c:v>0.34012415349887126</c:v>
                </c:pt>
                <c:pt idx="2">
                  <c:v>0.34012415349887126</c:v>
                </c:pt>
                <c:pt idx="3">
                  <c:v>0.34012415349887126</c:v>
                </c:pt>
                <c:pt idx="4">
                  <c:v>0.34012415349887126</c:v>
                </c:pt>
                <c:pt idx="5">
                  <c:v>0.34012415349887126</c:v>
                </c:pt>
                <c:pt idx="6">
                  <c:v>0.34012415349887126</c:v>
                </c:pt>
                <c:pt idx="7">
                  <c:v>0.34012415349887126</c:v>
                </c:pt>
                <c:pt idx="8">
                  <c:v>0.34012415349887126</c:v>
                </c:pt>
                <c:pt idx="9">
                  <c:v>0.34012415349887126</c:v>
                </c:pt>
                <c:pt idx="10">
                  <c:v>0.34012415349887126</c:v>
                </c:pt>
                <c:pt idx="11">
                  <c:v>0.34012415349887126</c:v>
                </c:pt>
                <c:pt idx="12">
                  <c:v>0.34012415349887126</c:v>
                </c:pt>
                <c:pt idx="13">
                  <c:v>0.34012415349887126</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2"/>
          <c:order val="2"/>
          <c:tx>
            <c:v>Profiel midden</c:v>
          </c:tx>
          <c:spPr>
            <a:gradFill>
              <a:gsLst>
                <a:gs pos="30000">
                  <a:schemeClr val="bg1">
                    <a:lumMod val="75000"/>
                  </a:schemeClr>
                </a:gs>
                <a:gs pos="45000">
                  <a:schemeClr val="bg1">
                    <a:lumMod val="50000"/>
                  </a:schemeClr>
                </a:gs>
                <a:gs pos="55000">
                  <a:schemeClr val="bg1">
                    <a:lumMod val="50000"/>
                  </a:schemeClr>
                </a:gs>
                <a:gs pos="50000">
                  <a:srgbClr val="141413"/>
                </a:gs>
                <a:gs pos="75000">
                  <a:schemeClr val="bg1">
                    <a:lumMod val="75000"/>
                  </a:schemeClr>
                </a:gs>
                <a:gs pos="80000">
                  <a:srgbClr val="141414"/>
                </a:gs>
                <a:gs pos="85000">
                  <a:schemeClr val="bg1">
                    <a:lumMod val="75000"/>
                  </a:schemeClr>
                </a:gs>
                <a:gs pos="0">
                  <a:schemeClr val="bg1">
                    <a:lumMod val="85000"/>
                  </a:schemeClr>
                </a:gs>
                <a:gs pos="25000">
                  <a:srgbClr val="323232"/>
                </a:gs>
                <a:gs pos="20000">
                  <a:schemeClr val="bg1">
                    <a:lumMod val="75000"/>
                  </a:schemeClr>
                </a:gs>
              </a:gsLst>
              <a:lin ang="5400000" scaled="0"/>
            </a:gradFill>
            <a:ln>
              <a:noFill/>
            </a:ln>
          </c:spPr>
          <c:invertIfNegative val="0"/>
          <c:val>
            <c:numRef>
              <c:f>Formules!$CP$25:$DS$25</c:f>
              <c:numCache>
                <c:formatCode>0.000</c:formatCode>
                <c:ptCount val="30"/>
                <c:pt idx="0">
                  <c:v>5.6094808126410829E-2</c:v>
                </c:pt>
                <c:pt idx="1">
                  <c:v>5.6094808126410829E-2</c:v>
                </c:pt>
                <c:pt idx="2">
                  <c:v>5.6094808126410829E-2</c:v>
                </c:pt>
                <c:pt idx="3">
                  <c:v>5.6094808126410829E-2</c:v>
                </c:pt>
                <c:pt idx="4">
                  <c:v>5.6094808126410829E-2</c:v>
                </c:pt>
                <c:pt idx="5">
                  <c:v>5.6094808126410829E-2</c:v>
                </c:pt>
                <c:pt idx="6">
                  <c:v>5.6094808126410829E-2</c:v>
                </c:pt>
                <c:pt idx="7">
                  <c:v>5.6094808126410829E-2</c:v>
                </c:pt>
                <c:pt idx="8">
                  <c:v>5.6094808126410829E-2</c:v>
                </c:pt>
                <c:pt idx="9">
                  <c:v>5.6094808126410829E-2</c:v>
                </c:pt>
                <c:pt idx="10">
                  <c:v>5.6094808126410829E-2</c:v>
                </c:pt>
                <c:pt idx="11">
                  <c:v>5.6094808126410829E-2</c:v>
                </c:pt>
                <c:pt idx="12">
                  <c:v>5.6094808126410829E-2</c:v>
                </c:pt>
                <c:pt idx="13">
                  <c:v>5.6094808126410829E-2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8"/>
          <c:order val="3"/>
          <c:tx>
            <c:v>Deksel</c:v>
          </c:tx>
          <c:spPr>
            <a:gradFill flip="none" rotWithShape="1">
              <a:gsLst>
                <a:gs pos="0">
                  <a:schemeClr val="tx1">
                    <a:lumMod val="70000"/>
                    <a:lumOff val="30000"/>
                  </a:schemeClr>
                </a:gs>
                <a:gs pos="100000">
                  <a:schemeClr val="tx1">
                    <a:lumMod val="85000"/>
                    <a:lumOff val="15000"/>
                  </a:schemeClr>
                </a:gs>
              </a:gsLst>
              <a:lin ang="5400000" scaled="0"/>
              <a:tileRect/>
            </a:gradFill>
            <a:ln w="0">
              <a:noFill/>
            </a:ln>
            <a:effectLst/>
          </c:spPr>
          <c:invertIfNegative val="0"/>
          <c:dPt>
            <c:idx val="0"/>
            <c:invertIfNegative val="0"/>
            <c:bubble3D val="0"/>
            <c:spPr>
              <a:gradFill flip="none" rotWithShape="1">
                <a:gsLst>
                  <a:gs pos="0">
                    <a:schemeClr val="tx1">
                      <a:lumMod val="70000"/>
                      <a:lumOff val="30000"/>
                    </a:schemeClr>
                  </a:gs>
                  <a:gs pos="100000">
                    <a:schemeClr val="tx1">
                      <a:lumMod val="85000"/>
                      <a:lumOff val="15000"/>
                    </a:schemeClr>
                  </a:gs>
                </a:gsLst>
                <a:lin ang="5400000" scaled="0"/>
                <a:tileRect/>
              </a:gradFill>
              <a:ln w="0">
                <a:noFill/>
              </a:ln>
              <a:effectLst/>
              <a:scene3d>
                <a:camera prst="orthographicFront"/>
                <a:lightRig rig="threePt" dir="t"/>
              </a:scene3d>
              <a:sp3d>
                <a:bevelT w="0" h="0"/>
                <a:bevelB w="0" h="0"/>
              </a:sp3d>
            </c:spPr>
          </c:dPt>
          <c:dPt>
            <c:idx val="8"/>
            <c:invertIfNegative val="0"/>
            <c:bubble3D val="0"/>
          </c:dPt>
          <c:val>
            <c:numRef>
              <c:f>Formules!$CP$23:$DS$23</c:f>
              <c:numCache>
                <c:formatCode>0.000</c:formatCode>
                <c:ptCount val="30"/>
                <c:pt idx="0">
                  <c:v>5.0959367945823918E-2</c:v>
                </c:pt>
                <c:pt idx="1">
                  <c:v>5.0959367945823918E-2</c:v>
                </c:pt>
                <c:pt idx="2">
                  <c:v>5.0959367945823918E-2</c:v>
                </c:pt>
                <c:pt idx="3">
                  <c:v>5.0959367945823918E-2</c:v>
                </c:pt>
                <c:pt idx="4">
                  <c:v>5.0959367945823918E-2</c:v>
                </c:pt>
                <c:pt idx="5">
                  <c:v>5.0959367945823918E-2</c:v>
                </c:pt>
                <c:pt idx="6">
                  <c:v>5.0959367945823918E-2</c:v>
                </c:pt>
                <c:pt idx="7">
                  <c:v>5.0959367945823918E-2</c:v>
                </c:pt>
                <c:pt idx="8">
                  <c:v>5.0959367945823918E-2</c:v>
                </c:pt>
                <c:pt idx="9">
                  <c:v>5.0959367945823918E-2</c:v>
                </c:pt>
                <c:pt idx="10">
                  <c:v>5.0959367945823918E-2</c:v>
                </c:pt>
                <c:pt idx="11">
                  <c:v>5.0959367945823918E-2</c:v>
                </c:pt>
                <c:pt idx="12">
                  <c:v>5.0959367945823918E-2</c:v>
                </c:pt>
                <c:pt idx="13">
                  <c:v>5.0959367945823918E-2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9"/>
          <c:order val="4"/>
          <c:tx>
            <c:v>Profiel top</c:v>
          </c:tx>
          <c:spPr>
            <a:gradFill>
              <a:gsLst>
                <a:gs pos="0">
                  <a:srgbClr val="141414">
                    <a:lumMod val="80000"/>
                    <a:lumOff val="20000"/>
                  </a:srgbClr>
                </a:gs>
                <a:gs pos="62000">
                  <a:schemeClr val="bg1">
                    <a:lumMod val="85000"/>
                  </a:schemeClr>
                </a:gs>
                <a:gs pos="50000">
                  <a:srgbClr val="141414"/>
                </a:gs>
                <a:gs pos="38000">
                  <a:schemeClr val="bg1">
                    <a:lumMod val="85000"/>
                  </a:schemeClr>
                </a:gs>
                <a:gs pos="100000">
                  <a:schemeClr val="bg1">
                    <a:lumMod val="75000"/>
                  </a:schemeClr>
                </a:gs>
                <a:gs pos="13000">
                  <a:srgbClr val="141414">
                    <a:lumMod val="80000"/>
                    <a:lumOff val="20000"/>
                  </a:srgbClr>
                </a:gs>
                <a:gs pos="14000">
                  <a:schemeClr val="bg1">
                    <a:lumMod val="75000"/>
                  </a:schemeClr>
                </a:gs>
              </a:gsLst>
              <a:lin ang="5400000" scaled="0"/>
            </a:gradFill>
          </c:spPr>
          <c:invertIfNegative val="0"/>
          <c:val>
            <c:numRef>
              <c:f>Formules!$CP$26:$DS$26</c:f>
              <c:numCache>
                <c:formatCode>0.000</c:formatCode>
                <c:ptCount val="30"/>
                <c:pt idx="0">
                  <c:v>4.7404063205417603E-2</c:v>
                </c:pt>
                <c:pt idx="1">
                  <c:v>4.7404063205417603E-2</c:v>
                </c:pt>
                <c:pt idx="2">
                  <c:v>4.7404063205417603E-2</c:v>
                </c:pt>
                <c:pt idx="3">
                  <c:v>4.7404063205417603E-2</c:v>
                </c:pt>
                <c:pt idx="4">
                  <c:v>4.7404063205417603E-2</c:v>
                </c:pt>
                <c:pt idx="5">
                  <c:v>4.7404063205417603E-2</c:v>
                </c:pt>
                <c:pt idx="6">
                  <c:v>4.7404063205417603E-2</c:v>
                </c:pt>
                <c:pt idx="7">
                  <c:v>4.7404063205417603E-2</c:v>
                </c:pt>
                <c:pt idx="8">
                  <c:v>4.7404063205417603E-2</c:v>
                </c:pt>
                <c:pt idx="9">
                  <c:v>4.7404063205417603E-2</c:v>
                </c:pt>
                <c:pt idx="10">
                  <c:v>4.7404063205417603E-2</c:v>
                </c:pt>
                <c:pt idx="11">
                  <c:v>4.7404063205417603E-2</c:v>
                </c:pt>
                <c:pt idx="12">
                  <c:v>4.7404063205417603E-2</c:v>
                </c:pt>
                <c:pt idx="13">
                  <c:v>4.7404063205417603E-2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dLbls>
          <c:showLegendKey val="0"/>
          <c:showVal val="0"/>
          <c:showCatName val="0"/>
          <c:showSerName val="0"/>
          <c:showPercent val="0"/>
          <c:showBubbleSize val="0"/>
        </c:dLbls>
        <c:gapWidth val="0"/>
        <c:gapDepth val="0"/>
        <c:shape val="box"/>
        <c:axId val="784399656"/>
        <c:axId val="784400832"/>
        <c:axId val="0"/>
      </c:bar3DChart>
      <c:catAx>
        <c:axId val="784399656"/>
        <c:scaling>
          <c:orientation val="minMax"/>
        </c:scaling>
        <c:delete val="0"/>
        <c:axPos val="b"/>
        <c:majorTickMark val="out"/>
        <c:minorTickMark val="none"/>
        <c:tickLblPos val="none"/>
        <c:spPr>
          <a:noFill/>
          <a:ln>
            <a:noFill/>
          </a:ln>
        </c:spPr>
        <c:crossAx val="784400832"/>
        <c:crosses val="autoZero"/>
        <c:auto val="1"/>
        <c:lblAlgn val="ctr"/>
        <c:lblOffset val="100"/>
        <c:noMultiLvlLbl val="0"/>
      </c:catAx>
      <c:valAx>
        <c:axId val="784400832"/>
        <c:scaling>
          <c:orientation val="minMax"/>
          <c:max val="1"/>
          <c:min val="0"/>
        </c:scaling>
        <c:delete val="0"/>
        <c:axPos val="l"/>
        <c:majorGridlines>
          <c:spPr>
            <a:ln>
              <a:noFill/>
            </a:ln>
          </c:spPr>
        </c:majorGridlines>
        <c:numFmt formatCode="General" sourceLinked="0"/>
        <c:majorTickMark val="out"/>
        <c:minorTickMark val="none"/>
        <c:tickLblPos val="none"/>
        <c:spPr>
          <a:noFill/>
          <a:ln>
            <a:noFill/>
          </a:ln>
        </c:spPr>
        <c:crossAx val="784399656"/>
        <c:crosses val="autoZero"/>
        <c:crossBetween val="between"/>
      </c:valAx>
      <c:spPr>
        <a:solidFill>
          <a:srgbClr val="73533C"/>
        </a:solidFill>
        <a:ln w="3175"/>
        <a:effectLst>
          <a:glow>
            <a:schemeClr val="accent1">
              <a:alpha val="40000"/>
            </a:schemeClr>
          </a:glow>
        </a:effectLst>
      </c:spPr>
    </c:plotArea>
    <c:plotVisOnly val="1"/>
    <c:dispBlanksAs val="gap"/>
    <c:showDLblsOverMax val="0"/>
  </c:chart>
  <c:spPr>
    <a:noFill/>
    <a:ln>
      <a:noFill/>
    </a:ln>
    <a:effectLst/>
    <a:scene3d>
      <a:camera prst="orthographicFront"/>
      <a:lightRig rig="threePt" dir="t"/>
    </a:scene3d>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view3D>
      <c:rotX val="15"/>
      <c:rotY val="30"/>
      <c:depthPercent val="730"/>
      <c:rAngAx val="1"/>
    </c:view3D>
    <c:floor>
      <c:thickness val="0"/>
      <c:spPr>
        <a:solidFill>
          <a:srgbClr val="986E4E"/>
        </a:solidFill>
        <a:ln>
          <a:noFill/>
        </a:ln>
      </c:spPr>
    </c:floor>
    <c:sideWall>
      <c:thickness val="0"/>
      <c:spPr>
        <a:solidFill>
          <a:srgbClr val="B28566"/>
        </a:solidFill>
        <a:ln w="0">
          <a:solidFill>
            <a:srgbClr val="73533C"/>
          </a:solidFill>
        </a:ln>
        <a:scene3d>
          <a:camera prst="orthographicFront"/>
          <a:lightRig rig="threePt" dir="t"/>
        </a:scene3d>
        <a:sp3d/>
      </c:spPr>
    </c:sideWall>
    <c:backWall>
      <c:thickness val="0"/>
      <c:spPr>
        <a:solidFill>
          <a:srgbClr val="73533C"/>
        </a:solidFill>
        <a:ln w="0">
          <a:noFill/>
        </a:ln>
        <a:scene3d>
          <a:camera prst="orthographicFront"/>
          <a:lightRig rig="threePt" dir="t"/>
        </a:scene3d>
      </c:spPr>
    </c:backWall>
    <c:plotArea>
      <c:layout>
        <c:manualLayout>
          <c:layoutTarget val="inner"/>
          <c:xMode val="edge"/>
          <c:yMode val="edge"/>
          <c:x val="3.6791758646063282E-3"/>
          <c:y val="0"/>
          <c:w val="0.99632079201396895"/>
          <c:h val="0.97796314523184602"/>
        </c:manualLayout>
      </c:layout>
      <c:bar3DChart>
        <c:barDir val="col"/>
        <c:grouping val="stacked"/>
        <c:varyColors val="0"/>
        <c:ser>
          <c:idx val="0"/>
          <c:order val="0"/>
          <c:tx>
            <c:v>Profiel onder</c:v>
          </c:tx>
          <c:spPr>
            <a:gradFill>
              <a:gsLst>
                <a:gs pos="4000">
                  <a:schemeClr val="tx1"/>
                </a:gs>
                <a:gs pos="0">
                  <a:schemeClr val="tx1"/>
                </a:gs>
                <a:gs pos="58000">
                  <a:srgbClr val="BFBFBF"/>
                </a:gs>
                <a:gs pos="50000">
                  <a:schemeClr val="tx1"/>
                </a:gs>
                <a:gs pos="42000">
                  <a:srgbClr val="BFBFBF"/>
                </a:gs>
                <a:gs pos="100000">
                  <a:schemeClr val="bg1">
                    <a:lumMod val="75000"/>
                  </a:schemeClr>
                </a:gs>
                <a:gs pos="10000">
                  <a:schemeClr val="bg1">
                    <a:lumMod val="75000"/>
                  </a:schemeClr>
                </a:gs>
              </a:gsLst>
              <a:lin ang="5400000" scaled="0"/>
            </a:gradFill>
          </c:spPr>
          <c:invertIfNegative val="0"/>
          <c:val>
            <c:numRef>
              <c:f>Formules!$CP$26:$DS$26</c:f>
              <c:numCache>
                <c:formatCode>0.000</c:formatCode>
                <c:ptCount val="30"/>
                <c:pt idx="0">
                  <c:v>4.7404063205417603E-2</c:v>
                </c:pt>
                <c:pt idx="1">
                  <c:v>4.7404063205417603E-2</c:v>
                </c:pt>
                <c:pt idx="2">
                  <c:v>4.7404063205417603E-2</c:v>
                </c:pt>
                <c:pt idx="3">
                  <c:v>4.7404063205417603E-2</c:v>
                </c:pt>
                <c:pt idx="4">
                  <c:v>4.7404063205417603E-2</c:v>
                </c:pt>
                <c:pt idx="5">
                  <c:v>4.7404063205417603E-2</c:v>
                </c:pt>
                <c:pt idx="6">
                  <c:v>4.7404063205417603E-2</c:v>
                </c:pt>
                <c:pt idx="7">
                  <c:v>4.7404063205417603E-2</c:v>
                </c:pt>
                <c:pt idx="8">
                  <c:v>4.7404063205417603E-2</c:v>
                </c:pt>
                <c:pt idx="9">
                  <c:v>4.7404063205417603E-2</c:v>
                </c:pt>
                <c:pt idx="10">
                  <c:v>4.7404063205417603E-2</c:v>
                </c:pt>
                <c:pt idx="11">
                  <c:v>4.7404063205417603E-2</c:v>
                </c:pt>
                <c:pt idx="12">
                  <c:v>4.7404063205417603E-2</c:v>
                </c:pt>
                <c:pt idx="13">
                  <c:v>4.7404063205417603E-2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1"/>
          <c:order val="1"/>
          <c:tx>
            <c:v>bodem</c:v>
          </c:tx>
          <c:spPr>
            <a:gradFill>
              <a:gsLst>
                <a:gs pos="0">
                  <a:schemeClr val="tx1">
                    <a:lumMod val="80000"/>
                    <a:lumOff val="20000"/>
                  </a:schemeClr>
                </a:gs>
                <a:gs pos="100000">
                  <a:schemeClr val="tx1">
                    <a:lumMod val="100000"/>
                  </a:schemeClr>
                </a:gs>
              </a:gsLst>
              <a:lin ang="5400000" scaled="0"/>
            </a:gradFill>
            <a:ln>
              <a:noFill/>
            </a:ln>
          </c:spPr>
          <c:invertIfNegative val="0"/>
          <c:dPt>
            <c:idx val="0"/>
            <c:invertIfNegative val="0"/>
            <c:bubble3D val="0"/>
            <c:spPr>
              <a:gradFill flip="none" rotWithShape="1">
                <a:gsLst>
                  <a:gs pos="0">
                    <a:schemeClr val="tx1">
                      <a:lumMod val="80000"/>
                      <a:lumOff val="20000"/>
                    </a:schemeClr>
                  </a:gs>
                  <a:gs pos="100000">
                    <a:schemeClr val="tx1"/>
                  </a:gs>
                </a:gsLst>
                <a:lin ang="5400000" scaled="1"/>
                <a:tileRect/>
              </a:gradFill>
              <a:ln>
                <a:noFill/>
              </a:ln>
            </c:spPr>
          </c:dPt>
          <c:dPt>
            <c:idx val="8"/>
            <c:invertIfNegative val="0"/>
            <c:bubble3D val="0"/>
            <c:spPr>
              <a:gradFill flip="none" rotWithShape="1">
                <a:gsLst>
                  <a:gs pos="0">
                    <a:schemeClr val="tx1">
                      <a:lumMod val="80000"/>
                      <a:lumOff val="20000"/>
                    </a:schemeClr>
                  </a:gs>
                  <a:gs pos="100000">
                    <a:schemeClr val="tx1">
                      <a:lumMod val="100000"/>
                    </a:schemeClr>
                  </a:gs>
                </a:gsLst>
                <a:lin ang="5400000" scaled="0"/>
                <a:tileRect/>
              </a:gradFill>
              <a:ln>
                <a:noFill/>
              </a:ln>
            </c:spPr>
          </c:dPt>
          <c:val>
            <c:numRef>
              <c:f>Formules!$CP$24:$DS$24</c:f>
              <c:numCache>
                <c:formatCode>0.000</c:formatCode>
                <c:ptCount val="30"/>
                <c:pt idx="0">
                  <c:v>0.34012415349887126</c:v>
                </c:pt>
                <c:pt idx="1">
                  <c:v>0.34012415349887126</c:v>
                </c:pt>
                <c:pt idx="2">
                  <c:v>0.34012415349887126</c:v>
                </c:pt>
                <c:pt idx="3">
                  <c:v>0.34012415349887126</c:v>
                </c:pt>
                <c:pt idx="4">
                  <c:v>0.34012415349887126</c:v>
                </c:pt>
                <c:pt idx="5">
                  <c:v>0.34012415349887126</c:v>
                </c:pt>
                <c:pt idx="6">
                  <c:v>0.34012415349887126</c:v>
                </c:pt>
                <c:pt idx="7">
                  <c:v>0.34012415349887126</c:v>
                </c:pt>
                <c:pt idx="8">
                  <c:v>0.34012415349887126</c:v>
                </c:pt>
                <c:pt idx="9">
                  <c:v>0.34012415349887126</c:v>
                </c:pt>
                <c:pt idx="10">
                  <c:v>0.34012415349887126</c:v>
                </c:pt>
                <c:pt idx="11">
                  <c:v>0.34012415349887126</c:v>
                </c:pt>
                <c:pt idx="12">
                  <c:v>0.34012415349887126</c:v>
                </c:pt>
                <c:pt idx="13">
                  <c:v>0.34012415349887126</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2"/>
          <c:order val="2"/>
          <c:tx>
            <c:v>Profiel midden</c:v>
          </c:tx>
          <c:spPr>
            <a:gradFill>
              <a:gsLst>
                <a:gs pos="30000">
                  <a:schemeClr val="bg1">
                    <a:lumMod val="75000"/>
                  </a:schemeClr>
                </a:gs>
                <a:gs pos="45000">
                  <a:schemeClr val="bg1">
                    <a:lumMod val="50000"/>
                  </a:schemeClr>
                </a:gs>
                <a:gs pos="55000">
                  <a:schemeClr val="bg1">
                    <a:lumMod val="50000"/>
                  </a:schemeClr>
                </a:gs>
                <a:gs pos="50000">
                  <a:srgbClr val="141413"/>
                </a:gs>
                <a:gs pos="75000">
                  <a:schemeClr val="bg1">
                    <a:lumMod val="75000"/>
                  </a:schemeClr>
                </a:gs>
                <a:gs pos="80000">
                  <a:srgbClr val="141414"/>
                </a:gs>
                <a:gs pos="85000">
                  <a:schemeClr val="bg1">
                    <a:lumMod val="75000"/>
                  </a:schemeClr>
                </a:gs>
                <a:gs pos="0">
                  <a:schemeClr val="bg1">
                    <a:lumMod val="85000"/>
                  </a:schemeClr>
                </a:gs>
                <a:gs pos="25000">
                  <a:srgbClr val="323232"/>
                </a:gs>
                <a:gs pos="20000">
                  <a:schemeClr val="bg1">
                    <a:lumMod val="75000"/>
                  </a:schemeClr>
                </a:gs>
              </a:gsLst>
              <a:lin ang="5400000" scaled="0"/>
            </a:gradFill>
            <a:ln>
              <a:noFill/>
            </a:ln>
          </c:spPr>
          <c:invertIfNegative val="0"/>
          <c:val>
            <c:numRef>
              <c:f>Formules!$CP$25:$DS$25</c:f>
              <c:numCache>
                <c:formatCode>0.000</c:formatCode>
                <c:ptCount val="30"/>
                <c:pt idx="0">
                  <c:v>5.6094808126410829E-2</c:v>
                </c:pt>
                <c:pt idx="1">
                  <c:v>5.6094808126410829E-2</c:v>
                </c:pt>
                <c:pt idx="2">
                  <c:v>5.6094808126410829E-2</c:v>
                </c:pt>
                <c:pt idx="3">
                  <c:v>5.6094808126410829E-2</c:v>
                </c:pt>
                <c:pt idx="4">
                  <c:v>5.6094808126410829E-2</c:v>
                </c:pt>
                <c:pt idx="5">
                  <c:v>5.6094808126410829E-2</c:v>
                </c:pt>
                <c:pt idx="6">
                  <c:v>5.6094808126410829E-2</c:v>
                </c:pt>
                <c:pt idx="7">
                  <c:v>5.6094808126410829E-2</c:v>
                </c:pt>
                <c:pt idx="8">
                  <c:v>5.6094808126410829E-2</c:v>
                </c:pt>
                <c:pt idx="9">
                  <c:v>5.6094808126410829E-2</c:v>
                </c:pt>
                <c:pt idx="10">
                  <c:v>5.6094808126410829E-2</c:v>
                </c:pt>
                <c:pt idx="11">
                  <c:v>5.6094808126410829E-2</c:v>
                </c:pt>
                <c:pt idx="12">
                  <c:v>5.6094808126410829E-2</c:v>
                </c:pt>
                <c:pt idx="13">
                  <c:v>5.6094808126410829E-2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8"/>
          <c:order val="3"/>
          <c:tx>
            <c:v>Deksel</c:v>
          </c:tx>
          <c:spPr>
            <a:gradFill flip="none" rotWithShape="1">
              <a:gsLst>
                <a:gs pos="0">
                  <a:schemeClr val="tx1">
                    <a:lumMod val="70000"/>
                    <a:lumOff val="30000"/>
                  </a:schemeClr>
                </a:gs>
                <a:gs pos="100000">
                  <a:schemeClr val="tx1">
                    <a:lumMod val="85000"/>
                    <a:lumOff val="15000"/>
                  </a:schemeClr>
                </a:gs>
              </a:gsLst>
              <a:lin ang="5400000" scaled="0"/>
              <a:tileRect/>
            </a:gradFill>
            <a:ln w="0">
              <a:noFill/>
            </a:ln>
            <a:effectLst/>
          </c:spPr>
          <c:invertIfNegative val="0"/>
          <c:dPt>
            <c:idx val="0"/>
            <c:invertIfNegative val="0"/>
            <c:bubble3D val="0"/>
            <c:spPr>
              <a:gradFill flip="none" rotWithShape="1">
                <a:gsLst>
                  <a:gs pos="0">
                    <a:schemeClr val="tx1">
                      <a:lumMod val="70000"/>
                      <a:lumOff val="30000"/>
                    </a:schemeClr>
                  </a:gs>
                  <a:gs pos="100000">
                    <a:schemeClr val="tx1">
                      <a:lumMod val="85000"/>
                      <a:lumOff val="15000"/>
                    </a:schemeClr>
                  </a:gs>
                </a:gsLst>
                <a:lin ang="5400000" scaled="0"/>
                <a:tileRect/>
              </a:gradFill>
              <a:ln w="0">
                <a:noFill/>
              </a:ln>
              <a:effectLst/>
              <a:scene3d>
                <a:camera prst="orthographicFront"/>
                <a:lightRig rig="threePt" dir="t"/>
              </a:scene3d>
              <a:sp3d>
                <a:bevelT w="0" h="0"/>
                <a:bevelB w="0" h="0"/>
              </a:sp3d>
            </c:spPr>
          </c:dPt>
          <c:dPt>
            <c:idx val="8"/>
            <c:invertIfNegative val="0"/>
            <c:bubble3D val="0"/>
          </c:dPt>
          <c:val>
            <c:numRef>
              <c:f>Formules!$CP$23:$DS$23</c:f>
              <c:numCache>
                <c:formatCode>0.000</c:formatCode>
                <c:ptCount val="30"/>
                <c:pt idx="0">
                  <c:v>5.0959367945823918E-2</c:v>
                </c:pt>
                <c:pt idx="1">
                  <c:v>5.0959367945823918E-2</c:v>
                </c:pt>
                <c:pt idx="2">
                  <c:v>5.0959367945823918E-2</c:v>
                </c:pt>
                <c:pt idx="3">
                  <c:v>5.0959367945823918E-2</c:v>
                </c:pt>
                <c:pt idx="4">
                  <c:v>5.0959367945823918E-2</c:v>
                </c:pt>
                <c:pt idx="5">
                  <c:v>5.0959367945823918E-2</c:v>
                </c:pt>
                <c:pt idx="6">
                  <c:v>5.0959367945823918E-2</c:v>
                </c:pt>
                <c:pt idx="7">
                  <c:v>5.0959367945823918E-2</c:v>
                </c:pt>
                <c:pt idx="8">
                  <c:v>5.0959367945823918E-2</c:v>
                </c:pt>
                <c:pt idx="9">
                  <c:v>5.0959367945823918E-2</c:v>
                </c:pt>
                <c:pt idx="10">
                  <c:v>5.0959367945823918E-2</c:v>
                </c:pt>
                <c:pt idx="11">
                  <c:v>5.0959367945823918E-2</c:v>
                </c:pt>
                <c:pt idx="12">
                  <c:v>5.0959367945823918E-2</c:v>
                </c:pt>
                <c:pt idx="13">
                  <c:v>5.0959367945823918E-2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ser>
          <c:idx val="9"/>
          <c:order val="4"/>
          <c:tx>
            <c:v>Profiel top</c:v>
          </c:tx>
          <c:spPr>
            <a:gradFill>
              <a:gsLst>
                <a:gs pos="0">
                  <a:srgbClr val="141414">
                    <a:lumMod val="80000"/>
                    <a:lumOff val="20000"/>
                  </a:srgbClr>
                </a:gs>
                <a:gs pos="62000">
                  <a:schemeClr val="bg1">
                    <a:lumMod val="85000"/>
                  </a:schemeClr>
                </a:gs>
                <a:gs pos="50000">
                  <a:srgbClr val="141414"/>
                </a:gs>
                <a:gs pos="38000">
                  <a:schemeClr val="bg1">
                    <a:lumMod val="85000"/>
                  </a:schemeClr>
                </a:gs>
                <a:gs pos="100000">
                  <a:schemeClr val="bg1">
                    <a:lumMod val="75000"/>
                  </a:schemeClr>
                </a:gs>
                <a:gs pos="13000">
                  <a:srgbClr val="141414">
                    <a:lumMod val="80000"/>
                    <a:lumOff val="20000"/>
                  </a:srgbClr>
                </a:gs>
                <a:gs pos="14000">
                  <a:schemeClr val="bg1">
                    <a:lumMod val="75000"/>
                  </a:schemeClr>
                </a:gs>
              </a:gsLst>
              <a:lin ang="5400000" scaled="0"/>
            </a:gradFill>
          </c:spPr>
          <c:invertIfNegative val="0"/>
          <c:val>
            <c:numRef>
              <c:f>Formules!$CP$26:$DS$26</c:f>
              <c:numCache>
                <c:formatCode>0.000</c:formatCode>
                <c:ptCount val="30"/>
                <c:pt idx="0">
                  <c:v>4.7404063205417603E-2</c:v>
                </c:pt>
                <c:pt idx="1">
                  <c:v>4.7404063205417603E-2</c:v>
                </c:pt>
                <c:pt idx="2">
                  <c:v>4.7404063205417603E-2</c:v>
                </c:pt>
                <c:pt idx="3">
                  <c:v>4.7404063205417603E-2</c:v>
                </c:pt>
                <c:pt idx="4">
                  <c:v>4.7404063205417603E-2</c:v>
                </c:pt>
                <c:pt idx="5">
                  <c:v>4.7404063205417603E-2</c:v>
                </c:pt>
                <c:pt idx="6">
                  <c:v>4.7404063205417603E-2</c:v>
                </c:pt>
                <c:pt idx="7">
                  <c:v>4.7404063205417603E-2</c:v>
                </c:pt>
                <c:pt idx="8">
                  <c:v>4.7404063205417603E-2</c:v>
                </c:pt>
                <c:pt idx="9">
                  <c:v>4.7404063205417603E-2</c:v>
                </c:pt>
                <c:pt idx="10">
                  <c:v>4.7404063205417603E-2</c:v>
                </c:pt>
                <c:pt idx="11">
                  <c:v>4.7404063205417603E-2</c:v>
                </c:pt>
                <c:pt idx="12">
                  <c:v>4.7404063205417603E-2</c:v>
                </c:pt>
                <c:pt idx="13">
                  <c:v>4.7404063205417603E-2</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numCache>
            </c:numRef>
          </c:val>
        </c:ser>
        <c:dLbls>
          <c:showLegendKey val="0"/>
          <c:showVal val="0"/>
          <c:showCatName val="0"/>
          <c:showSerName val="0"/>
          <c:showPercent val="0"/>
          <c:showBubbleSize val="0"/>
        </c:dLbls>
        <c:gapWidth val="0"/>
        <c:gapDepth val="0"/>
        <c:shape val="box"/>
        <c:axId val="784400048"/>
        <c:axId val="673083520"/>
        <c:axId val="0"/>
      </c:bar3DChart>
      <c:catAx>
        <c:axId val="784400048"/>
        <c:scaling>
          <c:orientation val="minMax"/>
        </c:scaling>
        <c:delete val="1"/>
        <c:axPos val="b"/>
        <c:majorTickMark val="out"/>
        <c:minorTickMark val="none"/>
        <c:tickLblPos val="none"/>
        <c:crossAx val="673083520"/>
        <c:crosses val="autoZero"/>
        <c:auto val="1"/>
        <c:lblAlgn val="ctr"/>
        <c:lblOffset val="100"/>
        <c:noMultiLvlLbl val="0"/>
      </c:catAx>
      <c:valAx>
        <c:axId val="673083520"/>
        <c:scaling>
          <c:orientation val="minMax"/>
          <c:max val="1"/>
          <c:min val="0"/>
        </c:scaling>
        <c:delete val="1"/>
        <c:axPos val="l"/>
        <c:majorGridlines>
          <c:spPr>
            <a:ln>
              <a:noFill/>
            </a:ln>
          </c:spPr>
        </c:majorGridlines>
        <c:numFmt formatCode="General" sourceLinked="0"/>
        <c:majorTickMark val="out"/>
        <c:minorTickMark val="none"/>
        <c:tickLblPos val="none"/>
        <c:crossAx val="784400048"/>
        <c:crosses val="autoZero"/>
        <c:crossBetween val="between"/>
      </c:valAx>
      <c:spPr>
        <a:solidFill>
          <a:srgbClr val="73533C"/>
        </a:solidFill>
        <a:ln w="3175"/>
        <a:effectLst>
          <a:glow>
            <a:schemeClr val="accent1">
              <a:alpha val="40000"/>
            </a:schemeClr>
          </a:glow>
        </a:effectLst>
      </c:spPr>
    </c:plotArea>
    <c:plotVisOnly val="1"/>
    <c:dispBlanksAs val="gap"/>
    <c:showDLblsOverMax val="0"/>
  </c:chart>
  <c:spPr>
    <a:noFill/>
    <a:ln>
      <a:noFill/>
    </a:ln>
    <a:effectLst/>
    <a:scene3d>
      <a:camera prst="orthographicFront"/>
      <a:lightRig rig="threePt" dir="t"/>
    </a:scene3d>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2.xml"/><Relationship Id="rId13" Type="http://schemas.openxmlformats.org/officeDocument/2006/relationships/hyperlink" Target="#Standaard!D29"/><Relationship Id="rId18" Type="http://schemas.openxmlformats.org/officeDocument/2006/relationships/hyperlink" Target="http://www.zelfbouwcase.nl/media/Files/Bouwhandleiding_heavy_duty.pdf" TargetMode="External"/><Relationship Id="rId3" Type="http://schemas.openxmlformats.org/officeDocument/2006/relationships/image" Target="../media/image2.jpeg"/><Relationship Id="rId21" Type="http://schemas.openxmlformats.org/officeDocument/2006/relationships/image" Target="../media/image9.jpg"/><Relationship Id="rId7" Type="http://schemas.openxmlformats.org/officeDocument/2006/relationships/image" Target="../media/image4.png"/><Relationship Id="rId12" Type="http://schemas.openxmlformats.org/officeDocument/2006/relationships/hyperlink" Target="#Standaard!D27"/><Relationship Id="rId17" Type="http://schemas.openxmlformats.org/officeDocument/2006/relationships/image" Target="../media/image7.emf"/><Relationship Id="rId2" Type="http://schemas.openxmlformats.org/officeDocument/2006/relationships/hyperlink" Target="http://www.zelfbouwcase.nl/" TargetMode="External"/><Relationship Id="rId16" Type="http://schemas.openxmlformats.org/officeDocument/2006/relationships/image" Target="../media/image6.emf"/><Relationship Id="rId20" Type="http://schemas.openxmlformats.org/officeDocument/2006/relationships/hyperlink" Target="http://www.zelfbouwcase.nl/media/Files/Bouwhandleiding_Slam_lid.pdf" TargetMode="External"/><Relationship Id="rId1" Type="http://schemas.openxmlformats.org/officeDocument/2006/relationships/chart" Target="../charts/chart1.xml"/><Relationship Id="rId6" Type="http://schemas.openxmlformats.org/officeDocument/2006/relationships/hyperlink" Target="#Standaard!D23"/><Relationship Id="rId11" Type="http://schemas.openxmlformats.org/officeDocument/2006/relationships/hyperlink" Target="#Standaard!Q29"/><Relationship Id="rId5" Type="http://schemas.openxmlformats.org/officeDocument/2006/relationships/image" Target="../media/image3.jpg"/><Relationship Id="rId15" Type="http://schemas.openxmlformats.org/officeDocument/2006/relationships/image" Target="../media/image5.emf"/><Relationship Id="rId23" Type="http://schemas.openxmlformats.org/officeDocument/2006/relationships/image" Target="../media/image10.emf"/><Relationship Id="rId10" Type="http://schemas.openxmlformats.org/officeDocument/2006/relationships/hyperlink" Target="#Standaard!Q27"/><Relationship Id="rId19" Type="http://schemas.openxmlformats.org/officeDocument/2006/relationships/image" Target="../media/image8.jpg"/><Relationship Id="rId4" Type="http://schemas.openxmlformats.org/officeDocument/2006/relationships/hyperlink" Target="http://www.zelfbouwcase.nl/media/Files/Bouwhandleiding_standaard.pdf" TargetMode="External"/><Relationship Id="rId9" Type="http://schemas.openxmlformats.org/officeDocument/2006/relationships/hyperlink" Target="#Standaard!Q25"/><Relationship Id="rId14" Type="http://schemas.openxmlformats.org/officeDocument/2006/relationships/hyperlink" Target="#Standaard!D25"/><Relationship Id="rId22" Type="http://schemas.openxmlformats.org/officeDocument/2006/relationships/hyperlink" Target="#Standaard!S10"/></Relationships>
</file>

<file path=xl/drawings/_rels/drawing2.xml.rels><?xml version="1.0" encoding="UTF-8" standalone="yes"?>
<Relationships xmlns="http://schemas.openxmlformats.org/package/2006/relationships"><Relationship Id="rId8" Type="http://schemas.openxmlformats.org/officeDocument/2006/relationships/hyperlink" Target="#Standaard!Q27"/><Relationship Id="rId13" Type="http://schemas.openxmlformats.org/officeDocument/2006/relationships/hyperlink" Target="#Standaard!D25"/><Relationship Id="rId3" Type="http://schemas.openxmlformats.org/officeDocument/2006/relationships/image" Target="../media/image3.jpg"/><Relationship Id="rId7" Type="http://schemas.openxmlformats.org/officeDocument/2006/relationships/hyperlink" Target="#Standaard!Q25"/><Relationship Id="rId12" Type="http://schemas.openxmlformats.org/officeDocument/2006/relationships/hyperlink" Target="#Standaard!D29"/><Relationship Id="rId2" Type="http://schemas.openxmlformats.org/officeDocument/2006/relationships/hyperlink" Target="http://www.zelfbouwcase.nl/media/Files/Bouwhandleiding_standaard.pdf" TargetMode="External"/><Relationship Id="rId1" Type="http://schemas.openxmlformats.org/officeDocument/2006/relationships/image" Target="../media/image2.jpeg"/><Relationship Id="rId6" Type="http://schemas.openxmlformats.org/officeDocument/2006/relationships/hyperlink" Target="http://www.zelfbouwcase.nl/media/Files/Bouwhandleiding_heavy_duty.pdf" TargetMode="External"/><Relationship Id="rId11" Type="http://schemas.openxmlformats.org/officeDocument/2006/relationships/hyperlink" Target="#Standaard!D27"/><Relationship Id="rId5" Type="http://schemas.openxmlformats.org/officeDocument/2006/relationships/image" Target="../media/image4.png"/><Relationship Id="rId15" Type="http://schemas.openxmlformats.org/officeDocument/2006/relationships/chart" Target="../charts/chart4.xml"/><Relationship Id="rId10" Type="http://schemas.openxmlformats.org/officeDocument/2006/relationships/hyperlink" Target="http://www.zelfbouwcase.nl/media/Files/Bouwhandleiding_Slam_lid.pdf" TargetMode="External"/><Relationship Id="rId4" Type="http://schemas.openxmlformats.org/officeDocument/2006/relationships/hyperlink" Target="#Standaard!D23"/><Relationship Id="rId9" Type="http://schemas.openxmlformats.org/officeDocument/2006/relationships/hyperlink" Target="#Standaard!Q29"/><Relationship Id="rId1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99</xdr:col>
      <xdr:colOff>180975</xdr:colOff>
      <xdr:row>2</xdr:row>
      <xdr:rowOff>209550</xdr:rowOff>
    </xdr:from>
    <xdr:to>
      <xdr:col>111</xdr:col>
      <xdr:colOff>171450</xdr:colOff>
      <xdr:row>11</xdr:row>
      <xdr:rowOff>57150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60960</xdr:colOff>
      <xdr:row>4</xdr:row>
      <xdr:rowOff>137160</xdr:rowOff>
    </xdr:from>
    <xdr:to>
      <xdr:col>8</xdr:col>
      <xdr:colOff>255062</xdr:colOff>
      <xdr:row>9</xdr:row>
      <xdr:rowOff>187105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260" y="584835"/>
          <a:ext cx="3508802" cy="983395"/>
        </a:xfrm>
        <a:prstGeom prst="rect">
          <a:avLst/>
        </a:prstGeom>
      </xdr:spPr>
    </xdr:pic>
    <xdr:clientData/>
  </xdr:twoCellAnchor>
  <xdr:twoCellAnchor editAs="oneCell">
    <xdr:from>
      <xdr:col>6</xdr:col>
      <xdr:colOff>29842</xdr:colOff>
      <xdr:row>17</xdr:row>
      <xdr:rowOff>19050</xdr:rowOff>
    </xdr:from>
    <xdr:to>
      <xdr:col>8</xdr:col>
      <xdr:colOff>380905</xdr:colOff>
      <xdr:row>21</xdr:row>
      <xdr:rowOff>5625</xdr:rowOff>
    </xdr:to>
    <xdr:pic>
      <xdr:nvPicPr>
        <xdr:cNvPr id="5" name="Afbeelding 1">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11142" y="2343150"/>
          <a:ext cx="1008288" cy="720000"/>
        </a:xfrm>
        <a:prstGeom prst="rect">
          <a:avLst/>
        </a:prstGeom>
      </xdr:spPr>
    </xdr:pic>
    <xdr:clientData/>
  </xdr:twoCellAnchor>
  <xdr:twoCellAnchor editAs="oneCell">
    <xdr:from>
      <xdr:col>5</xdr:col>
      <xdr:colOff>8705</xdr:colOff>
      <xdr:row>22</xdr:row>
      <xdr:rowOff>23304</xdr:rowOff>
    </xdr:from>
    <xdr:to>
      <xdr:col>5</xdr:col>
      <xdr:colOff>170705</xdr:colOff>
      <xdr:row>23</xdr:row>
      <xdr:rowOff>1154</xdr:rowOff>
    </xdr:to>
    <xdr:pic>
      <xdr:nvPicPr>
        <xdr:cNvPr id="8" name="Picture 7">
          <a:hlinkClick xmlns:r="http://schemas.openxmlformats.org/officeDocument/2006/relationships" r:id="rId6"/>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13730" y="3195129"/>
          <a:ext cx="162000" cy="162000"/>
        </a:xfrm>
        <a:prstGeom prst="rect">
          <a:avLst/>
        </a:prstGeom>
      </xdr:spPr>
    </xdr:pic>
    <xdr:clientData fLocksWithSheet="0"/>
  </xdr:twoCellAnchor>
  <xdr:twoCellAnchor>
    <xdr:from>
      <xdr:col>24</xdr:col>
      <xdr:colOff>19052</xdr:colOff>
      <xdr:row>0</xdr:row>
      <xdr:rowOff>24740</xdr:rowOff>
    </xdr:from>
    <xdr:to>
      <xdr:col>31</xdr:col>
      <xdr:colOff>247650</xdr:colOff>
      <xdr:row>11</xdr:row>
      <xdr:rowOff>8247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17</xdr:col>
      <xdr:colOff>10610</xdr:colOff>
      <xdr:row>24</xdr:row>
      <xdr:rowOff>13779</xdr:rowOff>
    </xdr:from>
    <xdr:ext cx="163353" cy="162000"/>
    <xdr:pic>
      <xdr:nvPicPr>
        <xdr:cNvPr id="17" name="Picture 16">
          <a:hlinkClick xmlns:r="http://schemas.openxmlformats.org/officeDocument/2006/relationships" r:id="rId9"/>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401885" y="3566604"/>
          <a:ext cx="163353" cy="162000"/>
        </a:xfrm>
        <a:prstGeom prst="rect">
          <a:avLst/>
        </a:prstGeom>
      </xdr:spPr>
    </xdr:pic>
    <xdr:clientData fLocksWithSheet="0"/>
  </xdr:oneCellAnchor>
  <xdr:oneCellAnchor>
    <xdr:from>
      <xdr:col>17</xdr:col>
      <xdr:colOff>10609</xdr:colOff>
      <xdr:row>26</xdr:row>
      <xdr:rowOff>6159</xdr:rowOff>
    </xdr:from>
    <xdr:ext cx="162000" cy="162000"/>
    <xdr:pic>
      <xdr:nvPicPr>
        <xdr:cNvPr id="19" name="Picture 18">
          <a:hlinkClick xmlns:r="http://schemas.openxmlformats.org/officeDocument/2006/relationships" r:id="rId10"/>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401884" y="3920934"/>
          <a:ext cx="162000" cy="162000"/>
        </a:xfrm>
        <a:prstGeom prst="rect">
          <a:avLst/>
        </a:prstGeom>
      </xdr:spPr>
    </xdr:pic>
    <xdr:clientData fLocksWithSheet="0"/>
  </xdr:oneCellAnchor>
  <xdr:oneCellAnchor>
    <xdr:from>
      <xdr:col>17</xdr:col>
      <xdr:colOff>10610</xdr:colOff>
      <xdr:row>28</xdr:row>
      <xdr:rowOff>6159</xdr:rowOff>
    </xdr:from>
    <xdr:ext cx="162000" cy="162000"/>
    <xdr:pic>
      <xdr:nvPicPr>
        <xdr:cNvPr id="20" name="Picture 19">
          <a:hlinkClick xmlns:r="http://schemas.openxmlformats.org/officeDocument/2006/relationships" r:id="rId11"/>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401885" y="4282884"/>
          <a:ext cx="162000" cy="162000"/>
        </a:xfrm>
        <a:prstGeom prst="rect">
          <a:avLst/>
        </a:prstGeom>
      </xdr:spPr>
    </xdr:pic>
    <xdr:clientData fLocksWithSheet="0"/>
  </xdr:oneCellAnchor>
  <xdr:twoCellAnchor editAs="oneCell">
    <xdr:from>
      <xdr:col>5</xdr:col>
      <xdr:colOff>7620</xdr:colOff>
      <xdr:row>26</xdr:row>
      <xdr:rowOff>15240</xdr:rowOff>
    </xdr:from>
    <xdr:to>
      <xdr:col>5</xdr:col>
      <xdr:colOff>169620</xdr:colOff>
      <xdr:row>26</xdr:row>
      <xdr:rowOff>177240</xdr:rowOff>
    </xdr:to>
    <xdr:pic>
      <xdr:nvPicPr>
        <xdr:cNvPr id="28" name="Picture 27">
          <a:hlinkClick xmlns:r="http://schemas.openxmlformats.org/officeDocument/2006/relationships" r:id="rId12"/>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331720" y="4006215"/>
          <a:ext cx="162000" cy="162000"/>
        </a:xfrm>
        <a:prstGeom prst="rect">
          <a:avLst/>
        </a:prstGeom>
      </xdr:spPr>
    </xdr:pic>
    <xdr:clientData fLocksWithSheet="0"/>
  </xdr:twoCellAnchor>
  <xdr:twoCellAnchor editAs="oneCell">
    <xdr:from>
      <xdr:col>5</xdr:col>
      <xdr:colOff>7620</xdr:colOff>
      <xdr:row>28</xdr:row>
      <xdr:rowOff>15240</xdr:rowOff>
    </xdr:from>
    <xdr:to>
      <xdr:col>5</xdr:col>
      <xdr:colOff>169620</xdr:colOff>
      <xdr:row>28</xdr:row>
      <xdr:rowOff>177240</xdr:rowOff>
    </xdr:to>
    <xdr:pic>
      <xdr:nvPicPr>
        <xdr:cNvPr id="30" name="Picture 29">
          <a:hlinkClick xmlns:r="http://schemas.openxmlformats.org/officeDocument/2006/relationships" r:id="rId13"/>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331720" y="4387215"/>
          <a:ext cx="162000" cy="162000"/>
        </a:xfrm>
        <a:prstGeom prst="rect">
          <a:avLst/>
        </a:prstGeom>
      </xdr:spPr>
    </xdr:pic>
    <xdr:clientData fLocksWithSheet="0"/>
  </xdr:twoCellAnchor>
  <xdr:twoCellAnchor editAs="oneCell">
    <xdr:from>
      <xdr:col>5</xdr:col>
      <xdr:colOff>7620</xdr:colOff>
      <xdr:row>24</xdr:row>
      <xdr:rowOff>15240</xdr:rowOff>
    </xdr:from>
    <xdr:to>
      <xdr:col>5</xdr:col>
      <xdr:colOff>169620</xdr:colOff>
      <xdr:row>24</xdr:row>
      <xdr:rowOff>177240</xdr:rowOff>
    </xdr:to>
    <xdr:pic>
      <xdr:nvPicPr>
        <xdr:cNvPr id="31" name="Picture 30">
          <a:hlinkClick xmlns:r="http://schemas.openxmlformats.org/officeDocument/2006/relationships" r:id="rId14"/>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331720" y="3625215"/>
          <a:ext cx="162000" cy="162000"/>
        </a:xfrm>
        <a:prstGeom prst="rect">
          <a:avLst/>
        </a:prstGeom>
      </xdr:spPr>
    </xdr:pic>
    <xdr:clientData fLocksWithSheet="0"/>
  </xdr:twoCellAnchor>
  <xdr:twoCellAnchor>
    <xdr:from>
      <xdr:col>13</xdr:col>
      <xdr:colOff>14275</xdr:colOff>
      <xdr:row>101</xdr:row>
      <xdr:rowOff>46761</xdr:rowOff>
    </xdr:from>
    <xdr:to>
      <xdr:col>18</xdr:col>
      <xdr:colOff>157975</xdr:colOff>
      <xdr:row>121</xdr:row>
      <xdr:rowOff>105785</xdr:rowOff>
    </xdr:to>
    <xdr:grpSp>
      <xdr:nvGrpSpPr>
        <xdr:cNvPr id="4" name="Group 3"/>
        <xdr:cNvGrpSpPr/>
      </xdr:nvGrpSpPr>
      <xdr:grpSpPr>
        <a:xfrm>
          <a:off x="4405300" y="18468111"/>
          <a:ext cx="2972625" cy="4411949"/>
          <a:chOff x="3979069" y="17429886"/>
          <a:chExt cx="2977388" cy="4416712"/>
        </a:xfrm>
      </xdr:grpSpPr>
      <xdr:grpSp>
        <xdr:nvGrpSpPr>
          <xdr:cNvPr id="33" name="Group 32"/>
          <xdr:cNvGrpSpPr/>
        </xdr:nvGrpSpPr>
        <xdr:grpSpPr>
          <a:xfrm>
            <a:off x="4796433" y="17429886"/>
            <a:ext cx="829622" cy="834503"/>
            <a:chOff x="341979" y="17468851"/>
            <a:chExt cx="824860" cy="844028"/>
          </a:xfrm>
        </xdr:grpSpPr>
        <xdr:sp macro="" textlink="">
          <xdr:nvSpPr>
            <xdr:cNvPr id="34" name="Rectangle 33"/>
            <xdr:cNvSpPr/>
          </xdr:nvSpPr>
          <xdr:spPr>
            <a:xfrm>
              <a:off x="863442" y="17640711"/>
              <a:ext cx="303397" cy="45829"/>
            </a:xfrm>
            <a:prstGeom prst="rect">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35" name="Oval 34"/>
            <xdr:cNvSpPr/>
          </xdr:nvSpPr>
          <xdr:spPr>
            <a:xfrm>
              <a:off x="341979" y="17468851"/>
              <a:ext cx="540425" cy="544225"/>
            </a:xfrm>
            <a:prstGeom prst="ellipse">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Rectangle 36"/>
            <xdr:cNvSpPr/>
          </xdr:nvSpPr>
          <xdr:spPr>
            <a:xfrm rot="5400000">
              <a:off x="378881" y="18127834"/>
              <a:ext cx="305530" cy="45509"/>
            </a:xfrm>
            <a:prstGeom prst="rect">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grpSp>
        <xdr:nvGrpSpPr>
          <xdr:cNvPr id="38" name="Group 37"/>
          <xdr:cNvGrpSpPr/>
        </xdr:nvGrpSpPr>
        <xdr:grpSpPr>
          <a:xfrm rot="16200000">
            <a:off x="4807476" y="21014535"/>
            <a:ext cx="824860" cy="839265"/>
            <a:chOff x="341979" y="17468851"/>
            <a:chExt cx="824860" cy="844028"/>
          </a:xfrm>
        </xdr:grpSpPr>
        <xdr:sp macro="" textlink="">
          <xdr:nvSpPr>
            <xdr:cNvPr id="39" name="Rectangle 38"/>
            <xdr:cNvSpPr/>
          </xdr:nvSpPr>
          <xdr:spPr>
            <a:xfrm>
              <a:off x="863442" y="17640711"/>
              <a:ext cx="303397" cy="45829"/>
            </a:xfrm>
            <a:prstGeom prst="rect">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0" name="Oval 39"/>
            <xdr:cNvSpPr/>
          </xdr:nvSpPr>
          <xdr:spPr>
            <a:xfrm>
              <a:off x="341979" y="17468851"/>
              <a:ext cx="540425" cy="544225"/>
            </a:xfrm>
            <a:prstGeom prst="ellipse">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Rectangle 40"/>
            <xdr:cNvSpPr/>
          </xdr:nvSpPr>
          <xdr:spPr>
            <a:xfrm rot="5400000">
              <a:off x="378881" y="18127834"/>
              <a:ext cx="305530" cy="45509"/>
            </a:xfrm>
            <a:prstGeom prst="rect">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mc:AlternateContent xmlns:mc="http://schemas.openxmlformats.org/markup-compatibility/2006" xmlns:a14="http://schemas.microsoft.com/office/drawing/2010/main">
        <mc:Choice Requires="a14">
          <xdr:pic>
            <xdr:nvPicPr>
              <xdr:cNvPr id="49" name="Picture 48"/>
              <xdr:cNvPicPr>
                <a:picLocks noChangeAspect="1" noChangeArrowheads="1"/>
                <a:extLst>
                  <a:ext uri="{84589F7E-364E-4C9E-8A38-B11213B215E9}">
                    <a14:cameraTool cellRange="Tekening!$J$2:$O$11" spid="_x0000_s4329"/>
                  </a:ext>
                </a:extLst>
              </xdr:cNvPicPr>
            </xdr:nvPicPr>
            <xdr:blipFill>
              <a:blip xmlns:r="http://schemas.openxmlformats.org/officeDocument/2006/relationships" r:embed="rId15"/>
              <a:srcRect/>
              <a:stretch>
                <a:fillRect/>
              </a:stretch>
            </xdr:blipFill>
            <xdr:spPr bwMode="auto">
              <a:xfrm>
                <a:off x="3979069" y="17649825"/>
                <a:ext cx="2977388" cy="3998844"/>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xdr:twoCellAnchor>
    <xdr:from>
      <xdr:col>2</xdr:col>
      <xdr:colOff>9525</xdr:colOff>
      <xdr:row>101</xdr:row>
      <xdr:rowOff>56286</xdr:rowOff>
    </xdr:from>
    <xdr:to>
      <xdr:col>6</xdr:col>
      <xdr:colOff>45495</xdr:colOff>
      <xdr:row>121</xdr:row>
      <xdr:rowOff>127435</xdr:rowOff>
    </xdr:to>
    <xdr:grpSp>
      <xdr:nvGrpSpPr>
        <xdr:cNvPr id="11" name="Group 10"/>
        <xdr:cNvGrpSpPr/>
      </xdr:nvGrpSpPr>
      <xdr:grpSpPr>
        <a:xfrm>
          <a:off x="57150" y="18477636"/>
          <a:ext cx="2836320" cy="4424074"/>
          <a:chOff x="47625" y="18287136"/>
          <a:chExt cx="2702970" cy="4424074"/>
        </a:xfrm>
      </xdr:grpSpPr>
      <xdr:grpSp>
        <xdr:nvGrpSpPr>
          <xdr:cNvPr id="12" name="Group 11"/>
          <xdr:cNvGrpSpPr/>
        </xdr:nvGrpSpPr>
        <xdr:grpSpPr>
          <a:xfrm>
            <a:off x="783594" y="18287136"/>
            <a:ext cx="824860" cy="834503"/>
            <a:chOff x="341979" y="17468851"/>
            <a:chExt cx="824860" cy="844028"/>
          </a:xfrm>
        </xdr:grpSpPr>
        <xdr:sp macro="" textlink="">
          <xdr:nvSpPr>
            <xdr:cNvPr id="2" name="Rectangle 1"/>
            <xdr:cNvSpPr/>
          </xdr:nvSpPr>
          <xdr:spPr>
            <a:xfrm>
              <a:off x="863442" y="17640711"/>
              <a:ext cx="303397" cy="45829"/>
            </a:xfrm>
            <a:prstGeom prst="rect">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8" name="Oval 17"/>
            <xdr:cNvSpPr/>
          </xdr:nvSpPr>
          <xdr:spPr>
            <a:xfrm>
              <a:off x="341979" y="17468851"/>
              <a:ext cx="540425" cy="544225"/>
            </a:xfrm>
            <a:prstGeom prst="ellipse">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7" name="Rectangle 26"/>
            <xdr:cNvSpPr/>
          </xdr:nvSpPr>
          <xdr:spPr>
            <a:xfrm rot="5400000">
              <a:off x="378881" y="18127834"/>
              <a:ext cx="305530" cy="45509"/>
            </a:xfrm>
            <a:prstGeom prst="rect">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grpSp>
        <xdr:nvGrpSpPr>
          <xdr:cNvPr id="50" name="Group 49"/>
          <xdr:cNvGrpSpPr/>
        </xdr:nvGrpSpPr>
        <xdr:grpSpPr>
          <a:xfrm rot="16200000">
            <a:off x="787926" y="21881528"/>
            <a:ext cx="824860" cy="834503"/>
            <a:chOff x="341979" y="17468851"/>
            <a:chExt cx="824860" cy="844028"/>
          </a:xfrm>
        </xdr:grpSpPr>
        <xdr:sp macro="" textlink="">
          <xdr:nvSpPr>
            <xdr:cNvPr id="51" name="Rectangle 50"/>
            <xdr:cNvSpPr/>
          </xdr:nvSpPr>
          <xdr:spPr>
            <a:xfrm>
              <a:off x="863442" y="17640711"/>
              <a:ext cx="303397" cy="45829"/>
            </a:xfrm>
            <a:prstGeom prst="rect">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52" name="Oval 51"/>
            <xdr:cNvSpPr/>
          </xdr:nvSpPr>
          <xdr:spPr>
            <a:xfrm>
              <a:off x="341979" y="17468851"/>
              <a:ext cx="540425" cy="544225"/>
            </a:xfrm>
            <a:prstGeom prst="ellipse">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 name="Rectangle 52"/>
            <xdr:cNvSpPr/>
          </xdr:nvSpPr>
          <xdr:spPr>
            <a:xfrm rot="5400000">
              <a:off x="378881" y="18127834"/>
              <a:ext cx="305530" cy="45509"/>
            </a:xfrm>
            <a:prstGeom prst="rect">
              <a:avLst/>
            </a:prstGeom>
            <a:solidFill>
              <a:schemeClr val="tx1">
                <a:lumMod val="50000"/>
                <a:lumOff val="50000"/>
                <a:alpha val="25000"/>
              </a:schemeClr>
            </a:solidFill>
            <a:ln w="6350">
              <a:solidFill>
                <a:schemeClr val="tx1">
                  <a:alpha val="18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mc:AlternateContent xmlns:mc="http://schemas.openxmlformats.org/markup-compatibility/2006" xmlns:a14="http://schemas.microsoft.com/office/drawing/2010/main">
        <mc:Choice Requires="a14">
          <xdr:pic>
            <xdr:nvPicPr>
              <xdr:cNvPr id="58" name="Picture 57"/>
              <xdr:cNvPicPr>
                <a:picLocks noChangeAspect="1" noChangeArrowheads="1"/>
                <a:extLst>
                  <a:ext uri="{84589F7E-364E-4C9E-8A38-B11213B215E9}">
                    <a14:cameraTool cellRange="Tekening!$B$2:$G$11" spid="_x0000_s4330"/>
                  </a:ext>
                </a:extLst>
              </xdr:cNvPicPr>
            </xdr:nvPicPr>
            <xdr:blipFill>
              <a:blip xmlns:r="http://schemas.openxmlformats.org/officeDocument/2006/relationships" r:embed="rId16"/>
              <a:srcRect/>
              <a:stretch>
                <a:fillRect/>
              </a:stretch>
            </xdr:blipFill>
            <xdr:spPr bwMode="auto">
              <a:xfrm>
                <a:off x="47625" y="18507075"/>
                <a:ext cx="2702970" cy="3994081"/>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mc:AlternateContent xmlns:mc="http://schemas.openxmlformats.org/markup-compatibility/2006">
    <mc:Choice xmlns:a14="http://schemas.microsoft.com/office/drawing/2010/main" Requires="a14">
      <xdr:twoCellAnchor editAs="oneCell">
        <xdr:from>
          <xdr:col>25</xdr:col>
          <xdr:colOff>0</xdr:colOff>
          <xdr:row>102</xdr:row>
          <xdr:rowOff>28575</xdr:rowOff>
        </xdr:from>
        <xdr:to>
          <xdr:col>28</xdr:col>
          <xdr:colOff>220320</xdr:colOff>
          <xdr:row>120</xdr:row>
          <xdr:rowOff>63451</xdr:rowOff>
        </xdr:to>
        <xdr:pic>
          <xdr:nvPicPr>
            <xdr:cNvPr id="60" name="Picture 59"/>
            <xdr:cNvPicPr>
              <a:picLocks noChangeAspect="1" noChangeArrowheads="1"/>
              <a:extLst>
                <a:ext uri="{84589F7E-364E-4C9E-8A38-B11213B215E9}">
                  <a14:cameraTool cellRange="Tekening!$R$14:$X$24" spid="_x0000_s4331"/>
                </a:ext>
              </a:extLst>
            </xdr:cNvPicPr>
          </xdr:nvPicPr>
          <xdr:blipFill>
            <a:blip xmlns:r="http://schemas.openxmlformats.org/officeDocument/2006/relationships" r:embed="rId17"/>
            <a:stretch>
              <a:fillRect/>
            </a:stretch>
          </xdr:blipFill>
          <xdr:spPr bwMode="auto">
            <a:xfrm>
              <a:off x="9315450" y="17754600"/>
              <a:ext cx="2449170" cy="400680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18</xdr:col>
      <xdr:colOff>26391</xdr:colOff>
      <xdr:row>17</xdr:row>
      <xdr:rowOff>19479</xdr:rowOff>
    </xdr:from>
    <xdr:to>
      <xdr:col>21</xdr:col>
      <xdr:colOff>3670</xdr:colOff>
      <xdr:row>21</xdr:row>
      <xdr:rowOff>19050</xdr:rowOff>
    </xdr:to>
    <xdr:pic>
      <xdr:nvPicPr>
        <xdr:cNvPr id="6" name="Picture 5">
          <a:hlinkClick xmlns:r="http://schemas.openxmlformats.org/officeDocument/2006/relationships" r:id="rId18"/>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7455891" y="2343579"/>
          <a:ext cx="1015504" cy="732996"/>
        </a:xfrm>
        <a:prstGeom prst="rect">
          <a:avLst/>
        </a:prstGeom>
      </xdr:spPr>
    </xdr:pic>
    <xdr:clientData/>
  </xdr:twoCellAnchor>
  <xdr:twoCellAnchor editAs="oneCell">
    <xdr:from>
      <xdr:col>29</xdr:col>
      <xdr:colOff>42563</xdr:colOff>
      <xdr:row>17</xdr:row>
      <xdr:rowOff>14754</xdr:rowOff>
    </xdr:from>
    <xdr:to>
      <xdr:col>31</xdr:col>
      <xdr:colOff>380999</xdr:colOff>
      <xdr:row>21</xdr:row>
      <xdr:rowOff>1</xdr:rowOff>
    </xdr:to>
    <xdr:pic>
      <xdr:nvPicPr>
        <xdr:cNvPr id="9" name="Picture 8">
          <a:hlinkClick xmlns:r="http://schemas.openxmlformats.org/officeDocument/2006/relationships" r:id="rId20"/>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2005963" y="2338854"/>
          <a:ext cx="995661" cy="718672"/>
        </a:xfrm>
        <a:prstGeom prst="rect">
          <a:avLst/>
        </a:prstGeom>
      </xdr:spPr>
    </xdr:pic>
    <xdr:clientData/>
  </xdr:twoCellAnchor>
  <xdr:twoCellAnchor editAs="oneCell">
    <xdr:from>
      <xdr:col>19</xdr:col>
      <xdr:colOff>9525</xdr:colOff>
      <xdr:row>9</xdr:row>
      <xdr:rowOff>28575</xdr:rowOff>
    </xdr:from>
    <xdr:to>
      <xdr:col>19</xdr:col>
      <xdr:colOff>171525</xdr:colOff>
      <xdr:row>10</xdr:row>
      <xdr:rowOff>75</xdr:rowOff>
    </xdr:to>
    <xdr:pic>
      <xdr:nvPicPr>
        <xdr:cNvPr id="42" name="Picture 41">
          <a:hlinkClick xmlns:r="http://schemas.openxmlformats.org/officeDocument/2006/relationships" r:id="rId22"/>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505700" y="1419225"/>
          <a:ext cx="162000" cy="162000"/>
        </a:xfrm>
        <a:prstGeom prst="rect">
          <a:avLst/>
        </a:prstGeom>
      </xdr:spPr>
    </xdr:pic>
    <xdr:clientData fLocksWithSheet="0"/>
  </xdr:twoCellAnchor>
  <mc:AlternateContent xmlns:mc="http://schemas.openxmlformats.org/markup-compatibility/2006">
    <mc:Choice xmlns:a14="http://schemas.microsoft.com/office/drawing/2010/main" Requires="a14">
      <xdr:twoCellAnchor editAs="oneCell">
        <xdr:from>
          <xdr:col>27</xdr:col>
          <xdr:colOff>1756559</xdr:colOff>
          <xdr:row>9</xdr:row>
          <xdr:rowOff>181430</xdr:rowOff>
        </xdr:from>
        <xdr:to>
          <xdr:col>31</xdr:col>
          <xdr:colOff>371434</xdr:colOff>
          <xdr:row>12</xdr:row>
          <xdr:rowOff>4454</xdr:rowOff>
        </xdr:to>
        <xdr:pic>
          <xdr:nvPicPr>
            <xdr:cNvPr id="59" name="Afbeelding 58"/>
            <xdr:cNvPicPr>
              <a:picLocks noChangeAspect="1" noChangeArrowheads="1"/>
              <a:extLst>
                <a:ext uri="{84589F7E-364E-4C9E-8A38-B11213B215E9}">
                  <a14:cameraTool cellRange="Formules!$CP$40" spid="_x0000_s4332"/>
                </a:ext>
              </a:extLst>
            </xdr:cNvPicPr>
          </xdr:nvPicPr>
          <xdr:blipFill>
            <a:blip xmlns:r="http://schemas.openxmlformats.org/officeDocument/2006/relationships" r:embed="rId23"/>
            <a:srcRect/>
            <a:stretch>
              <a:fillRect/>
            </a:stretch>
          </xdr:blipFill>
          <xdr:spPr bwMode="auto">
            <a:xfrm>
              <a:off x="11520715" y="1542144"/>
              <a:ext cx="1600200" cy="18588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60960</xdr:colOff>
      <xdr:row>4</xdr:row>
      <xdr:rowOff>137160</xdr:rowOff>
    </xdr:from>
    <xdr:to>
      <xdr:col>8</xdr:col>
      <xdr:colOff>255062</xdr:colOff>
      <xdr:row>9</xdr:row>
      <xdr:rowOff>187105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584835"/>
          <a:ext cx="3508802" cy="1002445"/>
        </a:xfrm>
        <a:prstGeom prst="rect">
          <a:avLst/>
        </a:prstGeom>
      </xdr:spPr>
    </xdr:pic>
    <xdr:clientData/>
  </xdr:twoCellAnchor>
  <xdr:twoCellAnchor editAs="oneCell">
    <xdr:from>
      <xdr:col>6</xdr:col>
      <xdr:colOff>15240</xdr:colOff>
      <xdr:row>17</xdr:row>
      <xdr:rowOff>18148</xdr:rowOff>
    </xdr:from>
    <xdr:to>
      <xdr:col>9</xdr:col>
      <xdr:colOff>2699</xdr:colOff>
      <xdr:row>21</xdr:row>
      <xdr:rowOff>17145</xdr:rowOff>
    </xdr:to>
    <xdr:pic>
      <xdr:nvPicPr>
        <xdr:cNvPr id="4" name="Afbeelding 1">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96540" y="2342248"/>
          <a:ext cx="1025684" cy="732422"/>
        </a:xfrm>
        <a:prstGeom prst="rect">
          <a:avLst/>
        </a:prstGeom>
      </xdr:spPr>
    </xdr:pic>
    <xdr:clientData/>
  </xdr:twoCellAnchor>
  <xdr:twoCellAnchor editAs="oneCell">
    <xdr:from>
      <xdr:col>5</xdr:col>
      <xdr:colOff>8705</xdr:colOff>
      <xdr:row>22</xdr:row>
      <xdr:rowOff>23304</xdr:rowOff>
    </xdr:from>
    <xdr:to>
      <xdr:col>5</xdr:col>
      <xdr:colOff>170705</xdr:colOff>
      <xdr:row>22</xdr:row>
      <xdr:rowOff>185304</xdr:rowOff>
    </xdr:to>
    <xdr:pic>
      <xdr:nvPicPr>
        <xdr:cNvPr id="5" name="Picture 4">
          <a:hlinkClick xmlns:r="http://schemas.openxmlformats.org/officeDocument/2006/relationships" r:id="rId4"/>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332805" y="3271329"/>
          <a:ext cx="162000" cy="162000"/>
        </a:xfrm>
        <a:prstGeom prst="rect">
          <a:avLst/>
        </a:prstGeom>
      </xdr:spPr>
    </xdr:pic>
    <xdr:clientData fLocksWithSheet="0"/>
  </xdr:twoCellAnchor>
  <xdr:oneCellAnchor>
    <xdr:from>
      <xdr:col>17</xdr:col>
      <xdr:colOff>579120</xdr:colOff>
      <xdr:row>17</xdr:row>
      <xdr:rowOff>18148</xdr:rowOff>
    </xdr:from>
    <xdr:ext cx="1061879" cy="740042"/>
    <xdr:pic>
      <xdr:nvPicPr>
        <xdr:cNvPr id="7" name="Afbeelding 1">
          <a:hlinkClick xmlns:r="http://schemas.openxmlformats.org/officeDocument/2006/relationships" r:id="rId6"/>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408545" y="2342248"/>
          <a:ext cx="1061879" cy="740042"/>
        </a:xfrm>
        <a:prstGeom prst="rect">
          <a:avLst/>
        </a:prstGeom>
      </xdr:spPr>
    </xdr:pic>
    <xdr:clientData/>
  </xdr:oneCellAnchor>
  <xdr:oneCellAnchor>
    <xdr:from>
      <xdr:col>17</xdr:col>
      <xdr:colOff>10610</xdr:colOff>
      <xdr:row>24</xdr:row>
      <xdr:rowOff>13779</xdr:rowOff>
    </xdr:from>
    <xdr:ext cx="163353" cy="162000"/>
    <xdr:pic>
      <xdr:nvPicPr>
        <xdr:cNvPr id="8" name="Picture 7">
          <a:hlinkClick xmlns:r="http://schemas.openxmlformats.org/officeDocument/2006/relationships" r:id="rId7"/>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840035" y="3661854"/>
          <a:ext cx="163353" cy="162000"/>
        </a:xfrm>
        <a:prstGeom prst="rect">
          <a:avLst/>
        </a:prstGeom>
      </xdr:spPr>
    </xdr:pic>
    <xdr:clientData fLocksWithSheet="0"/>
  </xdr:oneCellAnchor>
  <xdr:oneCellAnchor>
    <xdr:from>
      <xdr:col>17</xdr:col>
      <xdr:colOff>10609</xdr:colOff>
      <xdr:row>26</xdr:row>
      <xdr:rowOff>6159</xdr:rowOff>
    </xdr:from>
    <xdr:ext cx="162000" cy="162000"/>
    <xdr:pic>
      <xdr:nvPicPr>
        <xdr:cNvPr id="9" name="Picture 8">
          <a:hlinkClick xmlns:r="http://schemas.openxmlformats.org/officeDocument/2006/relationships" r:id="rId8"/>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840034" y="4035234"/>
          <a:ext cx="162000" cy="162000"/>
        </a:xfrm>
        <a:prstGeom prst="rect">
          <a:avLst/>
        </a:prstGeom>
      </xdr:spPr>
    </xdr:pic>
    <xdr:clientData fLocksWithSheet="0"/>
  </xdr:oneCellAnchor>
  <xdr:oneCellAnchor>
    <xdr:from>
      <xdr:col>17</xdr:col>
      <xdr:colOff>10610</xdr:colOff>
      <xdr:row>28</xdr:row>
      <xdr:rowOff>6159</xdr:rowOff>
    </xdr:from>
    <xdr:ext cx="162000" cy="162000"/>
    <xdr:pic>
      <xdr:nvPicPr>
        <xdr:cNvPr id="10" name="Picture 9">
          <a:hlinkClick xmlns:r="http://schemas.openxmlformats.org/officeDocument/2006/relationships" r:id="rId9"/>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840035" y="4416234"/>
          <a:ext cx="162000" cy="162000"/>
        </a:xfrm>
        <a:prstGeom prst="rect">
          <a:avLst/>
        </a:prstGeom>
      </xdr:spPr>
    </xdr:pic>
    <xdr:clientData fLocksWithSheet="0"/>
  </xdr:oneCellAnchor>
  <xdr:oneCellAnchor>
    <xdr:from>
      <xdr:col>28</xdr:col>
      <xdr:colOff>434340</xdr:colOff>
      <xdr:row>17</xdr:row>
      <xdr:rowOff>18148</xdr:rowOff>
    </xdr:from>
    <xdr:ext cx="1061879" cy="740042"/>
    <xdr:pic>
      <xdr:nvPicPr>
        <xdr:cNvPr id="11" name="Afbeelding 1">
          <a:hlinkClick xmlns:r="http://schemas.openxmlformats.org/officeDocument/2006/relationships" r:id="rId10"/>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940540" y="2342248"/>
          <a:ext cx="1061879" cy="740042"/>
        </a:xfrm>
        <a:prstGeom prst="rect">
          <a:avLst/>
        </a:prstGeom>
      </xdr:spPr>
    </xdr:pic>
    <xdr:clientData/>
  </xdr:oneCellAnchor>
  <xdr:twoCellAnchor editAs="oneCell">
    <xdr:from>
      <xdr:col>5</xdr:col>
      <xdr:colOff>7620</xdr:colOff>
      <xdr:row>26</xdr:row>
      <xdr:rowOff>15240</xdr:rowOff>
    </xdr:from>
    <xdr:to>
      <xdr:col>5</xdr:col>
      <xdr:colOff>169620</xdr:colOff>
      <xdr:row>26</xdr:row>
      <xdr:rowOff>177240</xdr:rowOff>
    </xdr:to>
    <xdr:pic>
      <xdr:nvPicPr>
        <xdr:cNvPr id="12" name="Picture 11">
          <a:hlinkClick xmlns:r="http://schemas.openxmlformats.org/officeDocument/2006/relationships" r:id="rId11"/>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331720" y="4044315"/>
          <a:ext cx="162000" cy="162000"/>
        </a:xfrm>
        <a:prstGeom prst="rect">
          <a:avLst/>
        </a:prstGeom>
      </xdr:spPr>
    </xdr:pic>
    <xdr:clientData fLocksWithSheet="0"/>
  </xdr:twoCellAnchor>
  <xdr:twoCellAnchor editAs="oneCell">
    <xdr:from>
      <xdr:col>5</xdr:col>
      <xdr:colOff>7620</xdr:colOff>
      <xdr:row>28</xdr:row>
      <xdr:rowOff>15240</xdr:rowOff>
    </xdr:from>
    <xdr:to>
      <xdr:col>5</xdr:col>
      <xdr:colOff>169620</xdr:colOff>
      <xdr:row>28</xdr:row>
      <xdr:rowOff>177240</xdr:rowOff>
    </xdr:to>
    <xdr:pic>
      <xdr:nvPicPr>
        <xdr:cNvPr id="13" name="Picture 12">
          <a:hlinkClick xmlns:r="http://schemas.openxmlformats.org/officeDocument/2006/relationships" r:id="rId12"/>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331720" y="4425315"/>
          <a:ext cx="162000" cy="162000"/>
        </a:xfrm>
        <a:prstGeom prst="rect">
          <a:avLst/>
        </a:prstGeom>
      </xdr:spPr>
    </xdr:pic>
    <xdr:clientData fLocksWithSheet="0"/>
  </xdr:twoCellAnchor>
  <xdr:twoCellAnchor editAs="oneCell">
    <xdr:from>
      <xdr:col>5</xdr:col>
      <xdr:colOff>7620</xdr:colOff>
      <xdr:row>24</xdr:row>
      <xdr:rowOff>15240</xdr:rowOff>
    </xdr:from>
    <xdr:to>
      <xdr:col>5</xdr:col>
      <xdr:colOff>169620</xdr:colOff>
      <xdr:row>24</xdr:row>
      <xdr:rowOff>177240</xdr:rowOff>
    </xdr:to>
    <xdr:pic>
      <xdr:nvPicPr>
        <xdr:cNvPr id="14" name="Picture 13">
          <a:hlinkClick xmlns:r="http://schemas.openxmlformats.org/officeDocument/2006/relationships" r:id="rId13"/>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331720" y="3663315"/>
          <a:ext cx="162000" cy="162000"/>
        </a:xfrm>
        <a:prstGeom prst="rect">
          <a:avLst/>
        </a:prstGeom>
      </xdr:spPr>
    </xdr:pic>
    <xdr:clientData fLocksWithSheet="0"/>
  </xdr:twoCellAnchor>
  <xdr:twoCellAnchor>
    <xdr:from>
      <xdr:col>25</xdr:col>
      <xdr:colOff>9525</xdr:colOff>
      <xdr:row>0</xdr:row>
      <xdr:rowOff>47625</xdr:rowOff>
    </xdr:from>
    <xdr:to>
      <xdr:col>31</xdr:col>
      <xdr:colOff>384809</xdr:colOff>
      <xdr:row>11</xdr:row>
      <xdr:rowOff>28575</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oneCellAnchor>
    <xdr:from>
      <xdr:col>4</xdr:col>
      <xdr:colOff>190500</xdr:colOff>
      <xdr:row>0</xdr:row>
      <xdr:rowOff>102685</xdr:rowOff>
    </xdr:from>
    <xdr:ext cx="3629025" cy="937629"/>
    <xdr:sp macro="" textlink="">
      <xdr:nvSpPr>
        <xdr:cNvPr id="18" name="Rectangle 17"/>
        <xdr:cNvSpPr/>
      </xdr:nvSpPr>
      <xdr:spPr>
        <a:xfrm>
          <a:off x="800100" y="102685"/>
          <a:ext cx="3629025" cy="937629"/>
        </a:xfrm>
        <a:prstGeom prst="rect">
          <a:avLst/>
        </a:prstGeom>
        <a:solidFill>
          <a:schemeClr val="accent6">
            <a:lumMod val="40000"/>
            <a:lumOff val="60000"/>
          </a:schemeClr>
        </a:solid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Formules</a:t>
          </a:r>
        </a:p>
      </xdr:txBody>
    </xdr:sp>
    <xdr:clientData/>
  </xdr:oneCellAnchor>
  <xdr:oneCellAnchor>
    <xdr:from>
      <xdr:col>29</xdr:col>
      <xdr:colOff>342900</xdr:colOff>
      <xdr:row>1</xdr:row>
      <xdr:rowOff>9525</xdr:rowOff>
    </xdr:from>
    <xdr:ext cx="3629025" cy="937629"/>
    <xdr:sp macro="" textlink="">
      <xdr:nvSpPr>
        <xdr:cNvPr id="30" name="Rectangle 29"/>
        <xdr:cNvSpPr/>
      </xdr:nvSpPr>
      <xdr:spPr>
        <a:xfrm>
          <a:off x="12306300" y="114300"/>
          <a:ext cx="3629025" cy="937629"/>
        </a:xfrm>
        <a:prstGeom prst="rect">
          <a:avLst/>
        </a:prstGeom>
        <a:solidFill>
          <a:schemeClr val="accent6">
            <a:lumMod val="40000"/>
            <a:lumOff val="60000"/>
          </a:schemeClr>
        </a:solid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Formules</a:t>
          </a:r>
        </a:p>
      </xdr:txBody>
    </xdr:sp>
    <xdr:clientData/>
  </xdr:oneCellAnchor>
  <xdr:twoCellAnchor>
    <xdr:from>
      <xdr:col>102</xdr:col>
      <xdr:colOff>0</xdr:colOff>
      <xdr:row>5</xdr:row>
      <xdr:rowOff>0</xdr:rowOff>
    </xdr:from>
    <xdr:to>
      <xdr:col>114</xdr:col>
      <xdr:colOff>84115</xdr:colOff>
      <xdr:row>15</xdr:row>
      <xdr:rowOff>990</xdr:rowOff>
    </xdr:to>
    <xdr:graphicFrame macro="">
      <xdr:nvGraphicFramePr>
        <xdr:cNvPr id="2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209550</xdr:colOff>
      <xdr:row>1</xdr:row>
      <xdr:rowOff>0</xdr:rowOff>
    </xdr:from>
    <xdr:to>
      <xdr:col>9</xdr:col>
      <xdr:colOff>209550</xdr:colOff>
      <xdr:row>4</xdr:row>
      <xdr:rowOff>177075</xdr:rowOff>
    </xdr:to>
    <xdr:cxnSp macro="">
      <xdr:nvCxnSpPr>
        <xdr:cNvPr id="7" name="Straight Arrow Connector 6"/>
        <xdr:cNvCxnSpPr/>
      </xdr:nvCxnSpPr>
      <xdr:spPr>
        <a:xfrm flipV="1">
          <a:off x="6715125" y="962025"/>
          <a:ext cx="0" cy="720000"/>
        </a:xfrm>
        <a:prstGeom prst="straightConnector1">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209550</xdr:colOff>
      <xdr:row>7</xdr:row>
      <xdr:rowOff>666750</xdr:rowOff>
    </xdr:from>
    <xdr:to>
      <xdr:col>9</xdr:col>
      <xdr:colOff>209550</xdr:colOff>
      <xdr:row>11</xdr:row>
      <xdr:rowOff>300</xdr:rowOff>
    </xdr:to>
    <xdr:cxnSp macro="">
      <xdr:nvCxnSpPr>
        <xdr:cNvPr id="9" name="Straight Arrow Connector 8"/>
        <xdr:cNvCxnSpPr/>
      </xdr:nvCxnSpPr>
      <xdr:spPr>
        <a:xfrm>
          <a:off x="6715125" y="3314700"/>
          <a:ext cx="0" cy="648000"/>
        </a:xfrm>
        <a:prstGeom prst="straightConnector1">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209551</xdr:colOff>
      <xdr:row>0</xdr:row>
      <xdr:rowOff>190502</xdr:rowOff>
    </xdr:from>
    <xdr:to>
      <xdr:col>1</xdr:col>
      <xdr:colOff>209551</xdr:colOff>
      <xdr:row>4</xdr:row>
      <xdr:rowOff>167552</xdr:rowOff>
    </xdr:to>
    <xdr:cxnSp macro="">
      <xdr:nvCxnSpPr>
        <xdr:cNvPr id="19" name="Straight Arrow Connector 18"/>
        <xdr:cNvCxnSpPr/>
      </xdr:nvCxnSpPr>
      <xdr:spPr>
        <a:xfrm flipV="1">
          <a:off x="819151" y="952502"/>
          <a:ext cx="0" cy="720000"/>
        </a:xfrm>
        <a:prstGeom prst="straightConnector1">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200025</xdr:colOff>
      <xdr:row>7</xdr:row>
      <xdr:rowOff>676275</xdr:rowOff>
    </xdr:from>
    <xdr:to>
      <xdr:col>1</xdr:col>
      <xdr:colOff>200025</xdr:colOff>
      <xdr:row>11</xdr:row>
      <xdr:rowOff>9825</xdr:rowOff>
    </xdr:to>
    <xdr:cxnSp macro="">
      <xdr:nvCxnSpPr>
        <xdr:cNvPr id="20" name="Straight Arrow Connector 19"/>
        <xdr:cNvCxnSpPr/>
      </xdr:nvCxnSpPr>
      <xdr:spPr>
        <a:xfrm>
          <a:off x="809625" y="3324225"/>
          <a:ext cx="0" cy="648000"/>
        </a:xfrm>
        <a:prstGeom prst="straightConnector1">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219075</xdr:colOff>
      <xdr:row>13</xdr:row>
      <xdr:rowOff>1</xdr:rowOff>
    </xdr:from>
    <xdr:to>
      <xdr:col>17</xdr:col>
      <xdr:colOff>219076</xdr:colOff>
      <xdr:row>18</xdr:row>
      <xdr:rowOff>90226</xdr:rowOff>
    </xdr:to>
    <xdr:cxnSp macro="">
      <xdr:nvCxnSpPr>
        <xdr:cNvPr id="28" name="Straight Arrow Connector 27"/>
        <xdr:cNvCxnSpPr/>
      </xdr:nvCxnSpPr>
      <xdr:spPr>
        <a:xfrm flipV="1">
          <a:off x="6326659" y="3597619"/>
          <a:ext cx="1" cy="579347"/>
        </a:xfrm>
        <a:prstGeom prst="straightConnector1">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219075</xdr:colOff>
      <xdr:row>20</xdr:row>
      <xdr:rowOff>981075</xdr:rowOff>
    </xdr:from>
    <xdr:to>
      <xdr:col>17</xdr:col>
      <xdr:colOff>219075</xdr:colOff>
      <xdr:row>24</xdr:row>
      <xdr:rowOff>5625</xdr:rowOff>
    </xdr:to>
    <xdr:cxnSp macro="">
      <xdr:nvCxnSpPr>
        <xdr:cNvPr id="29" name="Straight Arrow Connector 28"/>
        <xdr:cNvCxnSpPr/>
      </xdr:nvCxnSpPr>
      <xdr:spPr>
        <a:xfrm>
          <a:off x="17373600" y="6981825"/>
          <a:ext cx="0" cy="720000"/>
        </a:xfrm>
        <a:prstGeom prst="straightConnector1">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95250</xdr:colOff>
      <xdr:row>5</xdr:row>
      <xdr:rowOff>111124</xdr:rowOff>
    </xdr:from>
    <xdr:to>
      <xdr:col>4</xdr:col>
      <xdr:colOff>182562</xdr:colOff>
      <xdr:row>6</xdr:row>
      <xdr:rowOff>0</xdr:rowOff>
    </xdr:to>
    <xdr:sp macro="" textlink="">
      <xdr:nvSpPr>
        <xdr:cNvPr id="2" name="Isosceles Triangle 1"/>
        <xdr:cNvSpPr/>
      </xdr:nvSpPr>
      <xdr:spPr>
        <a:xfrm>
          <a:off x="1516063" y="2373312"/>
          <a:ext cx="87312" cy="87313"/>
        </a:xfrm>
        <a:prstGeom prst="triangle">
          <a:avLst/>
        </a:prstGeom>
        <a:solidFill>
          <a:schemeClr val="bg1">
            <a:lumMod val="95000"/>
          </a:schemeClr>
        </a:solidFill>
        <a:ln w="12700" cmpd="sng">
          <a:solidFill>
            <a:schemeClr val="tx1"/>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12</xdr:col>
      <xdr:colOff>96838</xdr:colOff>
      <xdr:row>5</xdr:row>
      <xdr:rowOff>112711</xdr:rowOff>
    </xdr:from>
    <xdr:to>
      <xdr:col>12</xdr:col>
      <xdr:colOff>184150</xdr:colOff>
      <xdr:row>6</xdr:row>
      <xdr:rowOff>1587</xdr:rowOff>
    </xdr:to>
    <xdr:sp macro="" textlink="">
      <xdr:nvSpPr>
        <xdr:cNvPr id="10" name="Isosceles Triangle 9"/>
        <xdr:cNvSpPr/>
      </xdr:nvSpPr>
      <xdr:spPr>
        <a:xfrm>
          <a:off x="7423151" y="2374899"/>
          <a:ext cx="87312" cy="87313"/>
        </a:xfrm>
        <a:prstGeom prst="triangle">
          <a:avLst/>
        </a:prstGeom>
        <a:solidFill>
          <a:schemeClr val="bg1">
            <a:lumMod val="95000"/>
          </a:schemeClr>
        </a:solidFill>
        <a:ln w="12700" cmpd="sng">
          <a:solidFill>
            <a:schemeClr val="tx1"/>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30</xdr:col>
      <xdr:colOff>80576</xdr:colOff>
      <xdr:row>19</xdr:row>
      <xdr:rowOff>325396</xdr:rowOff>
    </xdr:from>
    <xdr:to>
      <xdr:col>30</xdr:col>
      <xdr:colOff>80577</xdr:colOff>
      <xdr:row>20</xdr:row>
      <xdr:rowOff>447800</xdr:rowOff>
    </xdr:to>
    <xdr:cxnSp macro="">
      <xdr:nvCxnSpPr>
        <xdr:cNvPr id="11" name="Straight Arrow Connector 10"/>
        <xdr:cNvCxnSpPr/>
      </xdr:nvCxnSpPr>
      <xdr:spPr>
        <a:xfrm flipV="1">
          <a:off x="17373600" y="4733926"/>
          <a:ext cx="1" cy="579347"/>
        </a:xfrm>
        <a:prstGeom prst="straightConnector1">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232976</xdr:colOff>
      <xdr:row>20</xdr:row>
      <xdr:rowOff>20853</xdr:rowOff>
    </xdr:from>
    <xdr:to>
      <xdr:col>30</xdr:col>
      <xdr:colOff>232977</xdr:colOff>
      <xdr:row>20</xdr:row>
      <xdr:rowOff>600200</xdr:rowOff>
    </xdr:to>
    <xdr:cxnSp macro="">
      <xdr:nvCxnSpPr>
        <xdr:cNvPr id="12" name="Straight Arrow Connector 11"/>
        <xdr:cNvCxnSpPr/>
      </xdr:nvCxnSpPr>
      <xdr:spPr>
        <a:xfrm flipV="1">
          <a:off x="17526000" y="4886326"/>
          <a:ext cx="1" cy="579347"/>
        </a:xfrm>
        <a:prstGeom prst="straightConnector1">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366841</xdr:colOff>
      <xdr:row>15</xdr:row>
      <xdr:rowOff>135151</xdr:rowOff>
    </xdr:from>
    <xdr:to>
      <xdr:col>23</xdr:col>
      <xdr:colOff>366841</xdr:colOff>
      <xdr:row>19</xdr:row>
      <xdr:rowOff>199511</xdr:rowOff>
    </xdr:to>
    <xdr:cxnSp macro="">
      <xdr:nvCxnSpPr>
        <xdr:cNvPr id="4" name="Straight Arrow Connector 3"/>
        <xdr:cNvCxnSpPr/>
      </xdr:nvCxnSpPr>
      <xdr:spPr>
        <a:xfrm>
          <a:off x="7555642" y="3835742"/>
          <a:ext cx="0" cy="772299"/>
        </a:xfrm>
        <a:prstGeom prst="straightConnector1">
          <a:avLst/>
        </a:prstGeom>
        <a:ln>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vR/Dropbox/Gedeelde%20bestanden%20M-case/Configurator/MCase%20Configurator%20C0.4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ard"/>
      <sheetName val="Formules"/>
      <sheetName val="Light"/>
      <sheetName val="Berekeningen"/>
      <sheetName val="Viewers"/>
      <sheetName val="Tekening"/>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jpeg"/><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hyperlink" Target="http://www.zelfbouwcase.nl/configuratorcategorieen/hd-middelgrote-balhoek.html" TargetMode="External"/><Relationship Id="rId18" Type="http://schemas.openxmlformats.org/officeDocument/2006/relationships/hyperlink" Target="http://www.zelfbouwcase.nl/volledige-productgroepen/sluitingen-en-scharnieren/inbouwsluitingen.html" TargetMode="External"/><Relationship Id="rId26" Type="http://schemas.openxmlformats.org/officeDocument/2006/relationships/hyperlink" Target="http://www.zelfbouwcase.nl/volledige-productgroepen/schuim/hardschuim/hardschuim-5-mm-dik.html" TargetMode="External"/><Relationship Id="rId39" Type="http://schemas.openxmlformats.org/officeDocument/2006/relationships/hyperlink" Target="http://www.zelfbouwcase.nl/configuratorcategorieen/standaard-hd-9-mm-berken-met-1-mm-hpl.html" TargetMode="External"/><Relationship Id="rId3" Type="http://schemas.openxmlformats.org/officeDocument/2006/relationships/hyperlink" Target="http://www.zelfbouwcase.nl/gesorteerd-op-toepassing/standaard/plaatmateriaal/zwart-betonplex-9-mm.html" TargetMode="External"/><Relationship Id="rId21" Type="http://schemas.openxmlformats.org/officeDocument/2006/relationships/hyperlink" Target="http://www.zelfbouwcase.nl/configuratorcategorieen/standaard-hd-voetjes-en-wielen.html?limit=all" TargetMode="External"/><Relationship Id="rId34" Type="http://schemas.openxmlformats.org/officeDocument/2006/relationships/hyperlink" Target="http://www.zelfbouwcase.nl/gesorteerd-op-toepassing/standaard/aluminium-profielen/0100-30-30-1-5mm-hoekprofiel-gezaagd.html" TargetMode="External"/><Relationship Id="rId42" Type="http://schemas.openxmlformats.org/officeDocument/2006/relationships/hyperlink" Target="http://www.zelfbouwcase.nl/volledige-productgroepen/bevestigingsmateriaal/popnagels.html" TargetMode="External"/><Relationship Id="rId47" Type="http://schemas.openxmlformats.org/officeDocument/2006/relationships/hyperlink" Target="http://www.zelfbouwcase.nl/configuratorcategorieen/standaard-hd-handgrepen.html" TargetMode="External"/><Relationship Id="rId50" Type="http://schemas.openxmlformats.org/officeDocument/2006/relationships/hyperlink" Target="http://www.zelfbouwcase.nl/volledige-productgroepen/sluitingen-en-scharnieren/scharnieren.html" TargetMode="External"/><Relationship Id="rId7" Type="http://schemas.openxmlformats.org/officeDocument/2006/relationships/hyperlink" Target="http://www.zelfbouwcase.nl/gesorteerd-op-toepassing/slam-lid/hoeken/c0675z-platte-hoek-49mm.html" TargetMode="External"/><Relationship Id="rId12" Type="http://schemas.openxmlformats.org/officeDocument/2006/relationships/hyperlink" Target="http://www.zelfbouwcase.nl/gesorteerd-op-toepassing/heavy-duty/hoeken/b1130z-overzethoek-met-r5-hoek.html" TargetMode="External"/><Relationship Id="rId17" Type="http://schemas.openxmlformats.org/officeDocument/2006/relationships/hyperlink" Target="http://www.zelfbouwcase.nl/gesorteerd-op-toepassing/con-pearl/sluitingen-en-scharnieren.html" TargetMode="External"/><Relationship Id="rId25" Type="http://schemas.openxmlformats.org/officeDocument/2006/relationships/hyperlink" Target="http://www.zelfbouwcase.nl/configuratorcategorieen/standaard-hd-handgrepen.html" TargetMode="External"/><Relationship Id="rId33" Type="http://schemas.openxmlformats.org/officeDocument/2006/relationships/hyperlink" Target="http://www.zelfbouwcase.nl/gesorteerd-op-toepassing/standaard/hoeken.html" TargetMode="External"/><Relationship Id="rId38" Type="http://schemas.openxmlformats.org/officeDocument/2006/relationships/hyperlink" Target="http://www.zelfbouwcase.nl/volledige-productgroepen/sluitingen-en-scharnieren/inbouwsluitingen.html" TargetMode="External"/><Relationship Id="rId46" Type="http://schemas.openxmlformats.org/officeDocument/2006/relationships/hyperlink" Target="http://www.zelfbouwcase.nl/configuratorcategorieen/standaard-hd-handgrepen.html" TargetMode="External"/><Relationship Id="rId2" Type="http://schemas.openxmlformats.org/officeDocument/2006/relationships/hyperlink" Target="http://www.zelfbouwcase.nl/gesorteerd-op-toepassing/slam-lid/sluitingen-en-scharnieren/2470-slam-lidsluiting.html" TargetMode="External"/><Relationship Id="rId16" Type="http://schemas.openxmlformats.org/officeDocument/2006/relationships/hyperlink" Target="http://www.zelfbouwcase.nl/volledige-productgroepen/aluminium-profielen/sluitprofiel/0523-2mm-dik-sluitprofiel-10mm.html" TargetMode="External"/><Relationship Id="rId20" Type="http://schemas.openxmlformats.org/officeDocument/2006/relationships/hyperlink" Target="http://www.zelfbouwcase.nl/configuratorcategorieen/standaard-hd-popnagels-5x14mm.html" TargetMode="External"/><Relationship Id="rId29" Type="http://schemas.openxmlformats.org/officeDocument/2006/relationships/hyperlink" Target="http://www.zelfbouwcase.nl/volledige-productgroepen/schuim/hardschuim/hardschuim-15-mm-dik.html" TargetMode="External"/><Relationship Id="rId41" Type="http://schemas.openxmlformats.org/officeDocument/2006/relationships/hyperlink" Target="http://www.zelfbouwcase.nl/configuratorcategorieen/standaard-hd-middelgrote-sluitingen.html" TargetMode="External"/><Relationship Id="rId54"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hyperlink" Target="http://www.zelfbouwcase.nl/gesorteerd-op-toepassing/heavy-duty/hoeken/c7079z-platte-hoek-met-r5-hoek.html" TargetMode="External"/><Relationship Id="rId11" Type="http://schemas.openxmlformats.org/officeDocument/2006/relationships/hyperlink" Target="http://www.zelfbouwcase.nl/volledige-productgroepen/hoeken/overzethoeken/b1121z-overzethoek-met-scherpe-hoek.html" TargetMode="External"/><Relationship Id="rId24" Type="http://schemas.openxmlformats.org/officeDocument/2006/relationships/hyperlink" Target="http://www.zelfbouwcase.nl/configuratorcategorieen/standaard-middelgrote-balhoek-stapelbaar.html" TargetMode="External"/><Relationship Id="rId32" Type="http://schemas.openxmlformats.org/officeDocument/2006/relationships/hyperlink" Target="http://www.zelfbouwcase.nl/gesorteerd-op-toepassing/standaard/plaatmateriaal.html" TargetMode="External"/><Relationship Id="rId37" Type="http://schemas.openxmlformats.org/officeDocument/2006/relationships/hyperlink" Target="http://www.zelfbouwcase.nl/gesorteerd-op-toepassing/con-pearl/sluitingen-en-scharnieren.html" TargetMode="External"/><Relationship Id="rId40" Type="http://schemas.openxmlformats.org/officeDocument/2006/relationships/hyperlink" Target="http://www.zelfbouwcase.nl/gesorteerd-op-toepassing/standaard/plaatmateriaal/zwart-betonplex-9-mm.html" TargetMode="External"/><Relationship Id="rId45" Type="http://schemas.openxmlformats.org/officeDocument/2006/relationships/hyperlink" Target="http://www.zelfbouwcase.nl/configuratorcategorieen/standaard-hd-popnagels-5x14mm.html" TargetMode="External"/><Relationship Id="rId53" Type="http://schemas.openxmlformats.org/officeDocument/2006/relationships/printerSettings" Target="../printerSettings/printerSettings4.bin"/><Relationship Id="rId5" Type="http://schemas.openxmlformats.org/officeDocument/2006/relationships/hyperlink" Target="http://www.zelfbouwcase.nl/gesorteerd-op-toepassing/standaard/aluminium-profielen/0100-30-30-1-5mm-hoekprofiel.html" TargetMode="External"/><Relationship Id="rId15" Type="http://schemas.openxmlformats.org/officeDocument/2006/relationships/hyperlink" Target="http://www.zelfbouwcase.nl/volledige-productgroepen/aluminium-profielen/hoekprofiel/0105-30-30-2mm-hoekprofiel-gezaagd.html" TargetMode="External"/><Relationship Id="rId23" Type="http://schemas.openxmlformats.org/officeDocument/2006/relationships/hyperlink" Target="http://www.zelfbouwcase.nl/configuratorcategorieen/standaard-grote-balhoek-stapelbaar-1.html" TargetMode="External"/><Relationship Id="rId28" Type="http://schemas.openxmlformats.org/officeDocument/2006/relationships/hyperlink" Target="http://www.zelfbouwcase.nl/volledige-productgroepen/schuim/hardschuim/hardschuim-20-mm-dik.html" TargetMode="External"/><Relationship Id="rId36" Type="http://schemas.openxmlformats.org/officeDocument/2006/relationships/hyperlink" Target="http://www.zelfbouwcase.nl/gesorteerd-op-toepassing/standaard/aluminium-profielen/0500-1-5mm-dik-sluitprofiel-9mm.html" TargetMode="External"/><Relationship Id="rId49" Type="http://schemas.openxmlformats.org/officeDocument/2006/relationships/hyperlink" Target="http://www.zelfbouwcase.nl/configuratorcategorieen/standaard-grote-balhoek.html" TargetMode="External"/><Relationship Id="rId10" Type="http://schemas.openxmlformats.org/officeDocument/2006/relationships/hyperlink" Target="http://www.zelfbouwcase.nl/gesorteerd-op-toepassing/heavy-duty/hoeken/c7079z-platte-hoek-met-r5-hoek.html" TargetMode="External"/><Relationship Id="rId19" Type="http://schemas.openxmlformats.org/officeDocument/2006/relationships/hyperlink" Target="http://www.zelfbouwcase.nl/volledige-productgroepen/bevestigingsmateriaal/popnagels.html" TargetMode="External"/><Relationship Id="rId31" Type="http://schemas.openxmlformats.org/officeDocument/2006/relationships/hyperlink" Target="http://www.zelfbouwcase.nl/volledige-productgroepen/sluitingen-en-scharnieren/scharnieren.html" TargetMode="External"/><Relationship Id="rId44" Type="http://schemas.openxmlformats.org/officeDocument/2006/relationships/hyperlink" Target="http://www.zelfbouwcase.nl/volledige-productgroepen/bevestigingsmateriaal/popnagels.html" TargetMode="External"/><Relationship Id="rId52" Type="http://schemas.openxmlformats.org/officeDocument/2006/relationships/hyperlink" Target="http://www.zelfbouwcase.nl/volledige-productgroepen/sluitingen-en-scharnieren/opbouwdekselstoppers/p1236-banddekselstop-30cm-lang.html" TargetMode="External"/><Relationship Id="rId4" Type="http://schemas.openxmlformats.org/officeDocument/2006/relationships/hyperlink" Target="http://www.zelfbouwcase.nl/volledige-productgroepen/sluitingen-en-scharnieren/scharnieren/smal-pianoscharnier-1mm-dik.html" TargetMode="External"/><Relationship Id="rId9" Type="http://schemas.openxmlformats.org/officeDocument/2006/relationships/hyperlink" Target="http://www.zelfbouwcase.nl/volledige-productgroepen/aluminium-profielen/overige-profielen/0490-slamlidprofiel-9mm.html" TargetMode="External"/><Relationship Id="rId14" Type="http://schemas.openxmlformats.org/officeDocument/2006/relationships/hyperlink" Target="http://www.zelfbouwcase.nl/gesorteerd-op-toepassing/standaard/hoeken.html" TargetMode="External"/><Relationship Id="rId22" Type="http://schemas.openxmlformats.org/officeDocument/2006/relationships/hyperlink" Target="http://www.zelfbouwcase.nl/configuratorcategorieen/standaard-middelgrote-balhoek.html" TargetMode="External"/><Relationship Id="rId27" Type="http://schemas.openxmlformats.org/officeDocument/2006/relationships/hyperlink" Target="http://www.zelfbouwcase.nl/volledige-productgroepen/schuim/hardschuim/hardschuim-40-mm-dik.html" TargetMode="External"/><Relationship Id="rId30" Type="http://schemas.openxmlformats.org/officeDocument/2006/relationships/hyperlink" Target="http://www.zelfbouwcase.nl/volledige-productgroepen/schuim/hardschuim/hardschuim-10-mm-dik.html" TargetMode="External"/><Relationship Id="rId35" Type="http://schemas.openxmlformats.org/officeDocument/2006/relationships/hyperlink" Target="http://www.zelfbouwcase.nl/gesorteerd-op-toepassing/standaard/aluminium-profielen/0522-1-5mm-dik-sluitprofiel-10mm.html" TargetMode="External"/><Relationship Id="rId43" Type="http://schemas.openxmlformats.org/officeDocument/2006/relationships/hyperlink" Target="http://www.zelfbouwcase.nl/configuratorcategorieen/standaard-hd-popnagels-5x14mm.html" TargetMode="External"/><Relationship Id="rId48" Type="http://schemas.openxmlformats.org/officeDocument/2006/relationships/hyperlink" Target="http://www.zelfbouwcase.nl/volledige-productgroepen/lijm-en-verf/m6900-spuitbus-lijm-500ml.html" TargetMode="External"/><Relationship Id="rId8" Type="http://schemas.openxmlformats.org/officeDocument/2006/relationships/hyperlink" Target="http://www.zelfbouwcase.nl/gesorteerd-op-toepassing/standaard/hoeken.html" TargetMode="External"/><Relationship Id="rId51" Type="http://schemas.openxmlformats.org/officeDocument/2006/relationships/hyperlink" Target="http://www.zelfbouwcase.nl/volledige-productgroepen/plaatmateriaal/overig-plaatmateriaal-1/dekselpaneel-voor-slam-lidcase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I154"/>
  <sheetViews>
    <sheetView showGridLines="0" showRowColHeaders="0" tabSelected="1" zoomScaleNormal="100" workbookViewId="0">
      <pane ySplit="13" topLeftCell="A14" activePane="bottomLeft" state="frozenSplit"/>
      <selection pane="bottomLeft" activeCell="S9" sqref="S9"/>
    </sheetView>
  </sheetViews>
  <sheetFormatPr defaultRowHeight="15" x14ac:dyDescent="0.25"/>
  <cols>
    <col min="1" max="1" width="0.28515625" customWidth="1"/>
    <col min="2" max="2" width="0.42578125" style="1" customWidth="1"/>
    <col min="3" max="3" width="4.5703125" customWidth="1"/>
    <col min="4" max="4" width="2.7109375" customWidth="1"/>
    <col min="5" max="5" width="27" customWidth="1"/>
    <col min="6" max="6" width="7.7109375" customWidth="1"/>
    <col min="7" max="7" width="5.7109375" customWidth="1"/>
    <col min="8" max="8" width="3.7109375" customWidth="1"/>
    <col min="9" max="9" width="5.7109375" customWidth="1"/>
    <col min="10" max="10" width="0.42578125" customWidth="1"/>
    <col min="11" max="11" width="3.28515625" customWidth="1"/>
    <col min="12" max="12" width="0.7109375" hidden="1" customWidth="1"/>
    <col min="13" max="13" width="4.28515625" customWidth="1"/>
    <col min="14" max="14" width="0.42578125" style="8" customWidth="1"/>
    <col min="15" max="15" width="4.5703125" style="8" customWidth="1"/>
    <col min="16" max="16" width="2.7109375" customWidth="1"/>
    <col min="17" max="17" width="27" customWidth="1"/>
    <col min="18" max="18" width="7.7109375" customWidth="1"/>
    <col min="19" max="19" width="5.7109375" customWidth="1"/>
    <col min="20" max="20" width="3.7109375" customWidth="1"/>
    <col min="21" max="21" width="5.7109375" customWidth="1"/>
    <col min="22" max="22" width="0.42578125" customWidth="1"/>
    <col min="23" max="23" width="3.28515625" customWidth="1"/>
    <col min="24" max="24" width="4.28515625" customWidth="1"/>
    <col min="25" max="25" width="0.42578125" customWidth="1"/>
    <col min="26" max="26" width="4.28515625" customWidth="1"/>
    <col min="27" max="27" width="2.7109375" customWidth="1"/>
    <col min="28" max="28" width="26.28515625" customWidth="1"/>
    <col min="29" max="29" width="6.7109375" customWidth="1"/>
    <col min="30" max="30" width="5.7109375" customWidth="1"/>
    <col min="31" max="31" width="3.7109375" customWidth="1"/>
    <col min="32" max="32" width="5.7109375" customWidth="1"/>
    <col min="33" max="33" width="0.42578125" customWidth="1"/>
    <col min="34" max="34" width="12.28515625" customWidth="1"/>
    <col min="35" max="35" width="10.28515625" customWidth="1"/>
    <col min="36" max="51" width="4.7109375" customWidth="1"/>
    <col min="52" max="55" width="4" customWidth="1"/>
    <col min="56" max="56" width="27" customWidth="1"/>
    <col min="57" max="57" width="6.28515625" customWidth="1"/>
    <col min="58" max="58" width="1.7109375" customWidth="1"/>
    <col min="59" max="59" width="24.5703125" customWidth="1"/>
    <col min="60" max="60" width="6.5703125" customWidth="1"/>
    <col min="61" max="61" width="29.7109375" customWidth="1"/>
    <col min="62" max="62" width="27.28515625" customWidth="1"/>
    <col min="63" max="65" width="9.42578125" customWidth="1"/>
    <col min="66" max="66" width="2" customWidth="1"/>
    <col min="67" max="67" width="4" customWidth="1"/>
    <col min="68" max="68" width="24.7109375" customWidth="1"/>
    <col min="69" max="69" width="6.28515625" customWidth="1"/>
    <col min="70" max="70" width="1.7109375" customWidth="1"/>
    <col min="71" max="71" width="24.5703125" customWidth="1"/>
    <col min="72" max="72" width="6.5703125" customWidth="1"/>
    <col min="73" max="73" width="29.7109375" customWidth="1"/>
    <col min="74" max="74" width="27.28515625" customWidth="1"/>
    <col min="75" max="77" width="9.42578125" customWidth="1"/>
    <col min="78" max="78" width="2" customWidth="1"/>
    <col min="79" max="79" width="4" customWidth="1"/>
    <col min="80" max="80" width="24.7109375" customWidth="1"/>
    <col min="81" max="81" width="6.28515625" customWidth="1"/>
    <col min="82" max="82" width="1.7109375" customWidth="1"/>
    <col min="83" max="83" width="24.5703125" customWidth="1"/>
    <col min="84" max="84" width="6.5703125" customWidth="1"/>
    <col min="85" max="85" width="29.7109375" customWidth="1"/>
    <col min="86" max="86" width="27.28515625" customWidth="1"/>
    <col min="87" max="89" width="9.42578125" customWidth="1"/>
    <col min="90" max="90" width="2" customWidth="1"/>
    <col min="91" max="91" width="9.7109375" bestFit="1" customWidth="1"/>
    <col min="92" max="92" width="5.7109375" customWidth="1"/>
    <col min="93" max="124" width="4.28515625" customWidth="1"/>
  </cols>
  <sheetData>
    <row r="1" spans="1:113" s="15" customFormat="1" ht="8.65" customHeight="1" x14ac:dyDescent="0.25">
      <c r="B1" s="34"/>
      <c r="H1" s="34"/>
      <c r="P1" s="16"/>
      <c r="Q1" s="16"/>
      <c r="R1" s="16"/>
    </row>
    <row r="2" spans="1:113" s="15" customFormat="1" ht="1.9" customHeight="1" thickBot="1" x14ac:dyDescent="0.3">
      <c r="B2" s="34"/>
      <c r="H2" s="34"/>
      <c r="N2" s="20"/>
      <c r="O2" s="20"/>
      <c r="P2" s="20"/>
      <c r="Q2" s="20"/>
      <c r="R2" s="20"/>
      <c r="S2" s="20"/>
      <c r="T2" s="20"/>
      <c r="U2" s="20"/>
      <c r="V2" s="20"/>
    </row>
    <row r="3" spans="1:113" s="15" customFormat="1" ht="24" customHeight="1" thickBot="1" x14ac:dyDescent="0.45">
      <c r="B3" s="34"/>
      <c r="H3" s="34"/>
      <c r="N3" s="20"/>
      <c r="O3" s="162"/>
      <c r="P3" s="69" t="s">
        <v>28</v>
      </c>
      <c r="Q3" s="69"/>
      <c r="R3" s="69"/>
      <c r="S3" s="20"/>
      <c r="T3" s="20"/>
      <c r="U3" s="20"/>
      <c r="V3" s="20"/>
      <c r="X3" s="63"/>
      <c r="Y3" s="63"/>
      <c r="Z3" s="63"/>
      <c r="AA3" s="63"/>
      <c r="AB3" s="63"/>
      <c r="AC3" s="63"/>
      <c r="AD3" s="63"/>
    </row>
    <row r="4" spans="1:113" s="15" customFormat="1" ht="1.9" customHeight="1" thickBot="1" x14ac:dyDescent="0.45">
      <c r="B4" s="34"/>
      <c r="H4" s="34"/>
      <c r="N4" s="20"/>
      <c r="O4" s="35"/>
      <c r="P4" s="20"/>
      <c r="Q4" s="20"/>
      <c r="R4" s="20"/>
      <c r="S4" s="20"/>
      <c r="T4" s="20"/>
      <c r="U4" s="20"/>
      <c r="V4" s="20"/>
      <c r="X4" s="63"/>
      <c r="Y4" s="63"/>
      <c r="Z4" s="63"/>
      <c r="AA4" s="63"/>
      <c r="AB4" s="63"/>
      <c r="AC4" s="63"/>
      <c r="AD4" s="63"/>
    </row>
    <row r="5" spans="1:113" s="15" customFormat="1" x14ac:dyDescent="0.25">
      <c r="B5" s="34"/>
      <c r="H5" s="34"/>
      <c r="N5" s="20"/>
      <c r="O5" s="61"/>
      <c r="P5" s="26" t="s">
        <v>0</v>
      </c>
      <c r="Q5" s="26"/>
      <c r="R5" s="26"/>
      <c r="S5" s="26"/>
      <c r="T5" s="26"/>
      <c r="U5" s="27"/>
      <c r="V5" s="24"/>
      <c r="X5" s="341" t="str">
        <f>"hoogte "&amp;TEXT(Formules!BH28,"####")&amp;"mm"</f>
        <v>hoogte 343mm</v>
      </c>
      <c r="Y5" s="63"/>
      <c r="Z5" s="63"/>
      <c r="AA5" s="63"/>
      <c r="AB5" s="63"/>
      <c r="AC5" s="63"/>
      <c r="AD5" s="63"/>
    </row>
    <row r="6" spans="1:113" s="15" customFormat="1" x14ac:dyDescent="0.25">
      <c r="B6" s="34"/>
      <c r="N6" s="20"/>
      <c r="O6" s="62"/>
      <c r="P6" s="17"/>
      <c r="Q6" s="60" t="s">
        <v>7</v>
      </c>
      <c r="R6" s="60"/>
      <c r="S6" s="18">
        <v>600</v>
      </c>
      <c r="T6" s="17" t="s">
        <v>1</v>
      </c>
      <c r="U6" s="28"/>
      <c r="V6" s="20"/>
      <c r="X6" s="342"/>
      <c r="Y6" s="63"/>
      <c r="Z6" s="63"/>
      <c r="AA6" s="63"/>
      <c r="AB6" s="63"/>
      <c r="AC6" s="63"/>
      <c r="AD6" s="63"/>
    </row>
    <row r="7" spans="1:113" s="15" customFormat="1" ht="15" customHeight="1" x14ac:dyDescent="0.25">
      <c r="B7" s="34"/>
      <c r="N7" s="21"/>
      <c r="O7" s="62"/>
      <c r="P7" s="17"/>
      <c r="Q7" s="60" t="s">
        <v>18</v>
      </c>
      <c r="R7" s="60"/>
      <c r="S7" s="18">
        <v>400</v>
      </c>
      <c r="T7" s="17" t="s">
        <v>1</v>
      </c>
      <c r="U7" s="28"/>
      <c r="V7" s="20"/>
      <c r="X7" s="342"/>
      <c r="Y7" s="88"/>
      <c r="Z7" s="88"/>
      <c r="AA7" s="88"/>
      <c r="AB7" s="63"/>
      <c r="AC7" s="63"/>
      <c r="AD7" s="63"/>
    </row>
    <row r="8" spans="1:113" s="15" customFormat="1" x14ac:dyDescent="0.25">
      <c r="B8" s="34"/>
      <c r="N8" s="21"/>
      <c r="O8" s="62"/>
      <c r="P8" s="17"/>
      <c r="Q8" s="60" t="s">
        <v>25</v>
      </c>
      <c r="R8" s="60"/>
      <c r="S8" s="18">
        <v>300</v>
      </c>
      <c r="T8" s="17" t="s">
        <v>1</v>
      </c>
      <c r="U8" s="28"/>
      <c r="V8" s="20"/>
      <c r="X8" s="342"/>
      <c r="Y8" s="63"/>
      <c r="Z8" s="63"/>
      <c r="AA8" s="89"/>
      <c r="AB8" s="63"/>
      <c r="AC8" s="63"/>
      <c r="AD8" s="63"/>
      <c r="AH8" s="336" t="str">
        <f>"breedte "&amp;TEXT(Formules!BH27,"####")&amp;"mm"</f>
        <v>breedte 443mm</v>
      </c>
      <c r="AI8" s="90"/>
      <c r="AJ8" s="90"/>
      <c r="AK8" s="90"/>
      <c r="AL8" s="90"/>
      <c r="AM8" s="90"/>
      <c r="AN8" s="90"/>
      <c r="AO8" s="90"/>
      <c r="AP8" s="90"/>
      <c r="AQ8" s="90"/>
      <c r="AR8" s="90"/>
      <c r="AS8" s="90"/>
      <c r="AT8" s="90"/>
      <c r="AU8" s="90"/>
      <c r="AV8" s="90"/>
      <c r="AW8" s="90"/>
      <c r="AX8" s="90"/>
      <c r="AY8" s="90"/>
    </row>
    <row r="9" spans="1:113" s="15" customFormat="1" ht="14.25" customHeight="1" x14ac:dyDescent="0.25">
      <c r="B9" s="34"/>
      <c r="N9" s="21"/>
      <c r="O9" s="62"/>
      <c r="P9" s="17" t="s">
        <v>175</v>
      </c>
      <c r="Q9" s="59"/>
      <c r="R9" s="59"/>
      <c r="S9" s="18">
        <v>80</v>
      </c>
      <c r="T9" s="17" t="s">
        <v>1</v>
      </c>
      <c r="U9" s="165" t="str">
        <f>"("&amp;TEXT(Formules!BR123,"###")&amp;")"</f>
        <v>(58)</v>
      </c>
      <c r="V9" s="20"/>
      <c r="X9" s="342"/>
      <c r="Y9" s="63"/>
      <c r="Z9" s="63"/>
      <c r="AA9" s="89"/>
      <c r="AB9" s="63"/>
      <c r="AC9" s="63"/>
      <c r="AD9" s="63"/>
      <c r="AH9" s="337"/>
      <c r="AI9" s="90"/>
      <c r="AJ9" s="90"/>
      <c r="AK9" s="90"/>
      <c r="AL9" s="90"/>
      <c r="AM9" s="90"/>
      <c r="AN9" s="90"/>
      <c r="AO9" s="90"/>
      <c r="AP9" s="90"/>
      <c r="AQ9" s="90"/>
      <c r="AR9" s="90"/>
      <c r="AS9" s="90"/>
      <c r="AT9" s="90"/>
      <c r="AU9" s="90"/>
      <c r="AV9" s="90"/>
      <c r="AW9" s="90"/>
      <c r="AX9" s="90"/>
      <c r="AY9" s="90"/>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row>
    <row r="10" spans="1:113" s="15" customFormat="1" ht="15.75" thickBot="1" x14ac:dyDescent="0.3">
      <c r="B10" s="34"/>
      <c r="N10" s="21"/>
      <c r="O10" s="166"/>
      <c r="P10" s="29" t="s">
        <v>189</v>
      </c>
      <c r="Q10" s="167"/>
      <c r="R10" s="167"/>
      <c r="S10" s="168">
        <v>10</v>
      </c>
      <c r="T10" s="29" t="str">
        <f>IF(N(S10)&lt;&gt;0,"mm","")</f>
        <v>mm</v>
      </c>
      <c r="U10" s="30"/>
      <c r="V10" s="20"/>
      <c r="X10" s="63"/>
      <c r="Y10" s="63"/>
      <c r="Z10" s="63"/>
      <c r="AA10" s="63"/>
      <c r="AB10" s="63"/>
      <c r="AC10" s="63"/>
      <c r="AD10" s="63"/>
      <c r="AH10" s="337"/>
      <c r="AI10" s="90"/>
      <c r="AJ10" s="90"/>
      <c r="AK10" s="90"/>
      <c r="AL10" s="90"/>
      <c r="AM10" s="90"/>
      <c r="AN10" s="90"/>
      <c r="AO10" s="90"/>
      <c r="AP10" s="90"/>
      <c r="AQ10" s="90"/>
      <c r="AR10" s="90"/>
      <c r="AS10" s="90"/>
      <c r="AT10" s="90"/>
      <c r="AU10" s="90"/>
      <c r="AV10" s="90"/>
      <c r="AW10" s="90"/>
      <c r="AX10" s="90"/>
      <c r="AY10" s="90"/>
      <c r="AZ10" s="19"/>
      <c r="BA10" s="19"/>
      <c r="BB10" s="19"/>
      <c r="BC10" s="19"/>
      <c r="BD10" s="19"/>
      <c r="BE10" s="19"/>
      <c r="BF10" s="19"/>
      <c r="BO10" s="19"/>
      <c r="BP10" s="19"/>
      <c r="BQ10" s="19"/>
      <c r="BR10" s="19"/>
      <c r="CA10" s="19"/>
      <c r="CB10" s="19"/>
      <c r="CC10" s="19"/>
      <c r="CD10" s="19"/>
    </row>
    <row r="11" spans="1:113" s="15" customFormat="1" ht="1.9" customHeight="1" x14ac:dyDescent="0.25">
      <c r="B11" s="34"/>
      <c r="N11" s="21"/>
      <c r="O11" s="21"/>
      <c r="P11" s="20"/>
      <c r="Q11" s="20"/>
      <c r="R11" s="20"/>
      <c r="S11" s="20"/>
      <c r="T11" s="20"/>
      <c r="U11" s="20"/>
      <c r="V11" s="20"/>
      <c r="X11" s="16"/>
      <c r="Y11" s="16"/>
      <c r="Z11" s="16"/>
      <c r="AA11" s="16"/>
      <c r="AB11" s="343" t="str">
        <f>"lengte "&amp;TEXT(Formules!BH26,"####")&amp;"mm"</f>
        <v>lengte 643mm</v>
      </c>
      <c r="AC11" s="344"/>
      <c r="AI11" s="19"/>
      <c r="AJ11" s="19"/>
      <c r="AK11" s="19"/>
      <c r="AL11" s="19"/>
      <c r="AM11" s="19"/>
      <c r="AN11" s="19"/>
      <c r="AO11" s="19"/>
      <c r="AP11" s="19"/>
      <c r="AQ11" s="19"/>
      <c r="AR11" s="19"/>
      <c r="AS11" s="19"/>
      <c r="AT11" s="19"/>
      <c r="AU11" s="19"/>
      <c r="AV11" s="19"/>
      <c r="AW11" s="19"/>
      <c r="AX11" s="19"/>
      <c r="AY11" s="19"/>
      <c r="AZ11" s="77"/>
      <c r="BG11" s="77"/>
      <c r="BH11" s="77"/>
      <c r="BI11" s="77"/>
      <c r="BJ11" s="77"/>
      <c r="BK11" s="77"/>
      <c r="BL11" s="77"/>
      <c r="BM11" s="77"/>
      <c r="BN11" s="77"/>
      <c r="BS11" s="77"/>
      <c r="BT11" s="77"/>
      <c r="BU11" s="77"/>
      <c r="BV11" s="77"/>
      <c r="BW11" s="77"/>
      <c r="BX11" s="77"/>
      <c r="BY11" s="77"/>
      <c r="BZ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row>
    <row r="12" spans="1:113" s="15" customFormat="1" ht="12.75" customHeight="1" x14ac:dyDescent="0.25">
      <c r="B12" s="34"/>
      <c r="N12" s="16"/>
      <c r="O12" s="16"/>
      <c r="X12" s="16"/>
      <c r="Y12" s="16"/>
      <c r="Z12" s="16"/>
      <c r="AA12" s="16"/>
      <c r="AB12" s="344"/>
      <c r="AC12" s="344"/>
      <c r="AI12" s="19"/>
      <c r="AJ12" s="19"/>
      <c r="AK12" s="19"/>
      <c r="AL12" s="19"/>
      <c r="AM12" s="19"/>
      <c r="AN12" s="19"/>
      <c r="AO12" s="19"/>
      <c r="AP12" s="19"/>
      <c r="AQ12" s="19"/>
      <c r="AR12" s="19"/>
      <c r="AS12" s="19"/>
      <c r="AT12" s="19"/>
      <c r="AU12" s="19"/>
      <c r="AV12" s="19"/>
      <c r="AW12" s="19"/>
      <c r="AX12" s="19"/>
      <c r="AY12" s="19"/>
      <c r="AZ12" s="77"/>
      <c r="BG12" s="77"/>
      <c r="BH12" s="77"/>
      <c r="BI12" s="77"/>
      <c r="BJ12" s="77"/>
      <c r="BK12" s="77"/>
      <c r="BL12" s="77"/>
      <c r="BM12" s="77"/>
      <c r="BN12" s="77"/>
      <c r="BS12" s="77"/>
      <c r="BT12" s="77"/>
      <c r="BU12" s="77"/>
      <c r="BV12" s="77"/>
      <c r="BW12" s="77"/>
      <c r="BX12" s="77"/>
      <c r="BY12" s="77"/>
      <c r="BZ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row>
    <row r="13" spans="1:113" s="20" customFormat="1" ht="5.25" customHeight="1" x14ac:dyDescent="0.25">
      <c r="A13" s="36"/>
      <c r="B13" s="36"/>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row>
    <row r="14" spans="1:113" s="14" customFormat="1" ht="21.75" customHeight="1" x14ac:dyDescent="0.35">
      <c r="A14" s="139"/>
      <c r="B14" s="11"/>
      <c r="C14" s="96"/>
      <c r="D14" s="96"/>
      <c r="E14" s="138"/>
      <c r="F14" s="96"/>
      <c r="G14" s="96"/>
      <c r="H14" s="96"/>
      <c r="I14" s="96"/>
      <c r="J14" s="96"/>
      <c r="K14" s="96"/>
      <c r="L14" s="96"/>
      <c r="M14" s="96"/>
      <c r="N14" s="96"/>
      <c r="O14" s="96"/>
      <c r="P14" s="96"/>
      <c r="Q14" s="96"/>
      <c r="R14" s="295" t="s">
        <v>291</v>
      </c>
      <c r="S14" s="96"/>
      <c r="T14" s="96"/>
      <c r="U14" s="155"/>
      <c r="V14" s="96"/>
      <c r="W14" s="96"/>
      <c r="X14" s="96"/>
      <c r="Y14" s="96"/>
      <c r="Z14" s="96"/>
      <c r="AA14" s="96"/>
      <c r="AB14" s="96"/>
      <c r="AC14" s="96"/>
      <c r="AD14" s="96"/>
      <c r="AE14" s="96"/>
      <c r="AF14" s="96"/>
      <c r="AG14" s="96"/>
      <c r="AI14" s="160"/>
      <c r="AJ14" s="160"/>
      <c r="AK14" s="160"/>
      <c r="AL14" s="160"/>
      <c r="AM14" s="160"/>
      <c r="AN14" s="160"/>
      <c r="AO14" s="160"/>
      <c r="AP14" s="160"/>
      <c r="AQ14" s="160"/>
      <c r="AR14" s="160"/>
      <c r="AS14" s="160"/>
      <c r="AT14" s="160"/>
      <c r="AU14" s="160"/>
      <c r="AV14" s="160"/>
      <c r="AW14" s="160"/>
      <c r="AX14" s="160"/>
      <c r="AY14" s="160"/>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row>
    <row r="15" spans="1:113" s="14" customFormat="1" ht="7.9" customHeight="1" x14ac:dyDescent="0.25">
      <c r="A15" s="11"/>
      <c r="B15" s="11"/>
      <c r="E15" s="11"/>
      <c r="G15" s="11"/>
      <c r="I15" s="11"/>
      <c r="J15" s="11"/>
      <c r="O15" s="11"/>
      <c r="P15" s="11"/>
      <c r="S15" s="11"/>
      <c r="U15" s="11"/>
      <c r="V15" s="11"/>
      <c r="AB15" s="11"/>
      <c r="AD15" s="11"/>
    </row>
    <row r="16" spans="1:113" ht="7.9" customHeight="1" x14ac:dyDescent="0.25">
      <c r="A16" s="1"/>
      <c r="E16" s="1"/>
      <c r="G16" s="1"/>
      <c r="I16" s="1"/>
      <c r="J16" s="1"/>
      <c r="N16"/>
      <c r="O16" s="1"/>
      <c r="P16" s="1"/>
      <c r="S16" s="1"/>
      <c r="U16" s="1"/>
      <c r="V16" s="1"/>
      <c r="AB16" s="1"/>
      <c r="AD16" s="1"/>
      <c r="AH16" s="14"/>
    </row>
    <row r="17" spans="1:54" ht="1.9" customHeight="1" thickBot="1" x14ac:dyDescent="0.3">
      <c r="B17" s="36"/>
      <c r="C17" s="36"/>
      <c r="D17" s="36"/>
      <c r="E17" s="20"/>
      <c r="F17" s="20"/>
      <c r="G17" s="20"/>
      <c r="H17" s="20"/>
      <c r="I17" s="20"/>
      <c r="J17" s="20"/>
      <c r="N17" s="36"/>
      <c r="O17" s="36"/>
      <c r="P17" s="20"/>
      <c r="Q17" s="20"/>
      <c r="R17" s="20"/>
      <c r="S17" s="20"/>
      <c r="T17" s="20"/>
      <c r="U17" s="20"/>
      <c r="V17" s="20"/>
      <c r="Y17" s="36"/>
      <c r="Z17" s="36"/>
      <c r="AA17" s="20"/>
      <c r="AB17" s="20"/>
      <c r="AC17" s="20"/>
      <c r="AD17" s="20"/>
      <c r="AE17" s="20"/>
      <c r="AF17" s="20"/>
      <c r="AG17" s="20"/>
      <c r="AH17" s="14"/>
    </row>
    <row r="18" spans="1:54" ht="24" customHeight="1" thickBot="1" x14ac:dyDescent="0.45">
      <c r="A18" s="1"/>
      <c r="B18" s="36"/>
      <c r="C18" s="163"/>
      <c r="D18" s="69" t="s">
        <v>13</v>
      </c>
      <c r="E18" s="20"/>
      <c r="F18" s="20"/>
      <c r="G18" s="20"/>
      <c r="H18" s="20"/>
      <c r="I18" s="20"/>
      <c r="J18" s="20"/>
      <c r="N18" s="36"/>
      <c r="O18" s="164"/>
      <c r="P18" s="69" t="s">
        <v>147</v>
      </c>
      <c r="Q18" s="20"/>
      <c r="R18" s="20"/>
      <c r="S18" s="20"/>
      <c r="T18" s="20"/>
      <c r="U18" s="20"/>
      <c r="V18" s="20"/>
      <c r="X18" s="14"/>
      <c r="Y18" s="36"/>
      <c r="Z18" s="163"/>
      <c r="AA18" s="69" t="s">
        <v>148</v>
      </c>
      <c r="AB18" s="20"/>
      <c r="AC18" s="20"/>
      <c r="AD18" s="20"/>
      <c r="AE18" s="20"/>
      <c r="AF18" s="20"/>
      <c r="AG18" s="20"/>
      <c r="AH18" s="14"/>
      <c r="AI18" s="221"/>
      <c r="AJ18" s="208"/>
      <c r="AK18" s="208"/>
      <c r="AL18" s="208"/>
      <c r="AM18" s="208"/>
      <c r="AN18" s="208"/>
      <c r="AO18" s="208"/>
      <c r="AP18" s="208"/>
      <c r="AQ18" s="208"/>
      <c r="AR18" s="208"/>
      <c r="AS18" s="176"/>
      <c r="AT18" s="176"/>
      <c r="AU18" s="176"/>
      <c r="AV18" s="176"/>
      <c r="AW18" s="176"/>
      <c r="AX18" s="176"/>
      <c r="AY18" s="176"/>
    </row>
    <row r="19" spans="1:54" ht="1.9" customHeight="1" x14ac:dyDescent="0.35">
      <c r="A19" s="1"/>
      <c r="B19" s="36"/>
      <c r="C19" s="36"/>
      <c r="D19" s="36"/>
      <c r="E19" s="70"/>
      <c r="F19" s="20"/>
      <c r="G19" s="20"/>
      <c r="H19" s="20"/>
      <c r="I19" s="20"/>
      <c r="J19" s="20"/>
      <c r="N19" s="36"/>
      <c r="O19" s="36"/>
      <c r="P19" s="70"/>
      <c r="Q19" s="20"/>
      <c r="R19" s="20"/>
      <c r="S19" s="20"/>
      <c r="T19" s="20"/>
      <c r="U19" s="20"/>
      <c r="V19" s="20"/>
      <c r="X19" s="14"/>
      <c r="Y19" s="36"/>
      <c r="Z19" s="36"/>
      <c r="AA19" s="70"/>
      <c r="AB19" s="20"/>
      <c r="AC19" s="20"/>
      <c r="AD19" s="20"/>
      <c r="AE19" s="20"/>
      <c r="AF19" s="20"/>
      <c r="AG19" s="20"/>
      <c r="AH19" s="14"/>
      <c r="AI19" s="208"/>
      <c r="AJ19" s="208"/>
      <c r="AK19" s="208"/>
      <c r="AL19" s="208"/>
      <c r="AM19" s="208"/>
      <c r="AN19" s="208"/>
      <c r="AO19" s="208"/>
      <c r="AP19" s="208"/>
      <c r="AQ19" s="208"/>
      <c r="AR19" s="208"/>
    </row>
    <row r="20" spans="1:54" ht="17.649999999999999" customHeight="1" x14ac:dyDescent="0.25">
      <c r="B20" s="36"/>
      <c r="C20" s="142" t="s">
        <v>192</v>
      </c>
      <c r="D20" s="71"/>
      <c r="E20" s="71"/>
      <c r="F20" s="15"/>
      <c r="G20" s="20"/>
      <c r="H20" s="20"/>
      <c r="I20" s="20"/>
      <c r="J20" s="20"/>
      <c r="N20" s="36"/>
      <c r="O20" s="142" t="s">
        <v>192</v>
      </c>
      <c r="P20" s="71"/>
      <c r="Q20" s="15"/>
      <c r="R20" s="15"/>
      <c r="S20" s="20"/>
      <c r="T20" s="20"/>
      <c r="U20" s="20"/>
      <c r="V20" s="20"/>
      <c r="X20" s="14"/>
      <c r="Y20" s="36"/>
      <c r="Z20" s="142" t="s">
        <v>192</v>
      </c>
      <c r="AA20" s="71"/>
      <c r="AB20" s="15"/>
      <c r="AC20" s="15"/>
      <c r="AD20" s="20"/>
      <c r="AE20" s="20"/>
      <c r="AF20" s="20"/>
      <c r="AG20" s="20"/>
      <c r="AH20" s="14"/>
      <c r="AI20" s="208"/>
      <c r="AJ20" s="208"/>
      <c r="AK20" s="208"/>
      <c r="AL20" s="208"/>
      <c r="AM20" s="208"/>
      <c r="AN20" s="208"/>
      <c r="AO20" s="208"/>
      <c r="AP20" s="208"/>
      <c r="AQ20" s="208"/>
      <c r="AR20" s="208"/>
    </row>
    <row r="21" spans="1:54" x14ac:dyDescent="0.25">
      <c r="B21" s="36"/>
      <c r="C21" s="34"/>
      <c r="D21" s="34"/>
      <c r="E21" s="34"/>
      <c r="F21" s="44"/>
      <c r="G21" s="36"/>
      <c r="H21" s="36"/>
      <c r="I21" s="36"/>
      <c r="J21" s="20"/>
      <c r="N21" s="36"/>
      <c r="O21" s="34"/>
      <c r="P21" s="34"/>
      <c r="Q21" s="34"/>
      <c r="R21" s="44"/>
      <c r="S21" s="36"/>
      <c r="T21" s="36"/>
      <c r="U21" s="36"/>
      <c r="V21" s="20"/>
      <c r="X21" s="14"/>
      <c r="Y21" s="36"/>
      <c r="Z21" s="34"/>
      <c r="AA21" s="34"/>
      <c r="AB21" s="44"/>
      <c r="AC21" s="44"/>
      <c r="AD21" s="36"/>
      <c r="AE21" s="36"/>
      <c r="AF21" s="36"/>
      <c r="AG21" s="20"/>
      <c r="AH21" s="14"/>
      <c r="AI21" s="208"/>
      <c r="AJ21" s="208"/>
      <c r="AK21" s="208"/>
      <c r="AL21" s="208"/>
      <c r="AM21" s="208"/>
      <c r="AN21" s="208"/>
      <c r="AO21" s="208"/>
      <c r="AP21" s="208"/>
      <c r="AQ21" s="208"/>
      <c r="AR21" s="208"/>
    </row>
    <row r="22" spans="1:54" ht="15" customHeight="1" x14ac:dyDescent="0.25">
      <c r="B22" s="36"/>
      <c r="C22" s="64" t="s">
        <v>51</v>
      </c>
      <c r="D22" s="34"/>
      <c r="E22" s="34"/>
      <c r="F22" s="204"/>
      <c r="G22" s="347" t="str">
        <f>HYPERLINK("http://www.zelfbouwcase.nl/media/Files/Bouwhandleiding_standaard.pdf", "Klik hier voor de handleiding")</f>
        <v>Klik hier voor de handleiding</v>
      </c>
      <c r="H22" s="348"/>
      <c r="I22" s="348"/>
      <c r="J22" s="20"/>
      <c r="N22" s="36"/>
      <c r="O22" s="64" t="s">
        <v>30</v>
      </c>
      <c r="P22" s="34"/>
      <c r="Q22" s="100"/>
      <c r="R22" s="204"/>
      <c r="S22" s="347" t="str">
        <f>HYPERLINK("http://www.zelfbouwcase.nl/media/Files/Bouwhandleiding_heavy_duty.pdf", "Klik hier voor de handleiding")</f>
        <v>Klik hier voor de handleiding</v>
      </c>
      <c r="T22" s="348"/>
      <c r="U22" s="348"/>
      <c r="V22" s="20"/>
      <c r="X22" s="14"/>
      <c r="Y22" s="36"/>
      <c r="Z22" s="64" t="s">
        <v>51</v>
      </c>
      <c r="AA22" s="34"/>
      <c r="AB22" s="100"/>
      <c r="AC22" s="44"/>
      <c r="AD22" s="347" t="str">
        <f>HYPERLINK("http://www.zelfbouwcase.nl/media/Files/Bouwhandleiding_Slam_lid.pdf", "Klik hier voor de handeiding")</f>
        <v>Klik hier voor de handeiding</v>
      </c>
      <c r="AE22" s="348"/>
      <c r="AF22" s="348"/>
      <c r="AG22" s="20"/>
      <c r="AH22" s="14"/>
      <c r="AI22" s="208"/>
      <c r="AJ22" s="208"/>
      <c r="AK22" s="208"/>
      <c r="AL22" s="208"/>
      <c r="AM22" s="208"/>
      <c r="AN22" s="208"/>
      <c r="AO22" s="208"/>
      <c r="AP22" s="208"/>
      <c r="AQ22" s="208"/>
      <c r="AR22" s="208"/>
    </row>
    <row r="23" spans="1:54" x14ac:dyDescent="0.25">
      <c r="B23" s="36"/>
      <c r="C23" s="25"/>
      <c r="D23" s="345" t="s">
        <v>210</v>
      </c>
      <c r="E23" s="335"/>
      <c r="F23" s="15"/>
      <c r="G23" s="348"/>
      <c r="H23" s="348"/>
      <c r="I23" s="348"/>
      <c r="J23" s="20"/>
      <c r="N23" s="36"/>
      <c r="O23" s="25"/>
      <c r="P23" s="338" t="str">
        <f>Formules!BX42</f>
        <v>9mm berken met 1mm HPL</v>
      </c>
      <c r="Q23" s="339"/>
      <c r="R23" s="100"/>
      <c r="S23" s="348"/>
      <c r="T23" s="348"/>
      <c r="U23" s="348"/>
      <c r="V23" s="20"/>
      <c r="X23" s="14"/>
      <c r="Y23" s="36"/>
      <c r="Z23" s="25"/>
      <c r="AA23" s="338" t="s">
        <v>148</v>
      </c>
      <c r="AB23" s="339"/>
      <c r="AC23" s="100"/>
      <c r="AD23" s="348"/>
      <c r="AE23" s="348"/>
      <c r="AF23" s="348"/>
      <c r="AG23" s="20"/>
      <c r="AH23" s="14"/>
      <c r="AI23" s="208"/>
      <c r="AJ23" s="208"/>
      <c r="AK23" s="208"/>
      <c r="AL23" s="208"/>
      <c r="AM23" s="208"/>
      <c r="AN23" s="208"/>
      <c r="AO23" s="208"/>
      <c r="AP23" s="208"/>
      <c r="AQ23" s="208"/>
      <c r="AR23" s="208"/>
    </row>
    <row r="24" spans="1:54" x14ac:dyDescent="0.25">
      <c r="B24" s="36"/>
      <c r="C24" s="64" t="s">
        <v>30</v>
      </c>
      <c r="D24" s="34"/>
      <c r="E24" s="34"/>
      <c r="F24" s="356"/>
      <c r="G24" s="357"/>
      <c r="H24" s="357"/>
      <c r="I24" s="357"/>
      <c r="J24" s="20"/>
      <c r="N24" s="36"/>
      <c r="O24" s="64" t="s">
        <v>51</v>
      </c>
      <c r="P24" s="34"/>
      <c r="Q24" s="97"/>
      <c r="R24" s="97"/>
      <c r="S24" s="91"/>
      <c r="T24" s="91"/>
      <c r="U24" s="91"/>
      <c r="V24" s="20"/>
      <c r="X24" s="14"/>
      <c r="Y24" s="36"/>
      <c r="Z24" s="64" t="s">
        <v>30</v>
      </c>
      <c r="AA24" s="34"/>
      <c r="AB24" s="97"/>
      <c r="AC24" s="97"/>
      <c r="AD24" s="91"/>
      <c r="AE24" s="91"/>
      <c r="AF24" s="91"/>
      <c r="AG24" s="20"/>
      <c r="AH24" s="14"/>
      <c r="AI24" s="208"/>
      <c r="AJ24" s="208"/>
      <c r="AK24" s="208"/>
      <c r="AL24" s="208"/>
      <c r="AM24" s="208"/>
      <c r="AN24" s="208"/>
      <c r="AO24" s="208"/>
      <c r="AP24" s="208"/>
      <c r="AQ24" s="208"/>
      <c r="AR24" s="208"/>
    </row>
    <row r="25" spans="1:54" x14ac:dyDescent="0.25">
      <c r="B25" s="36"/>
      <c r="C25" s="25"/>
      <c r="D25" s="345" t="s">
        <v>190</v>
      </c>
      <c r="E25" s="335"/>
      <c r="F25" s="15"/>
      <c r="G25" s="346" t="str">
        <f>HYPERLINK(Formules!BG33,Formules!BK33)</f>
        <v>Info plaatmat.</v>
      </c>
      <c r="H25" s="335"/>
      <c r="I25" s="335"/>
      <c r="J25" s="20"/>
      <c r="N25" s="36"/>
      <c r="O25" s="25"/>
      <c r="P25" s="345" t="s">
        <v>210</v>
      </c>
      <c r="Q25" s="335"/>
      <c r="R25" s="100"/>
      <c r="S25" s="91"/>
      <c r="T25" s="91"/>
      <c r="U25" s="91"/>
      <c r="V25" s="20"/>
      <c r="X25" s="14"/>
      <c r="Y25" s="36"/>
      <c r="Z25" s="25"/>
      <c r="AA25" s="338" t="s">
        <v>39</v>
      </c>
      <c r="AB25" s="339"/>
      <c r="AC25" s="100"/>
      <c r="AD25" s="91"/>
      <c r="AE25" s="91"/>
      <c r="AF25" s="91"/>
      <c r="AG25" s="20"/>
      <c r="AH25" s="14"/>
      <c r="AI25" s="208"/>
      <c r="AJ25" s="208"/>
      <c r="AK25" s="208"/>
      <c r="AL25" s="208"/>
      <c r="AM25" s="208"/>
      <c r="AN25" s="208"/>
      <c r="AO25" s="208"/>
      <c r="AP25" s="208"/>
      <c r="AQ25" s="208"/>
      <c r="AR25" s="208"/>
    </row>
    <row r="26" spans="1:54" x14ac:dyDescent="0.25">
      <c r="B26" s="36"/>
      <c r="C26" s="64" t="s">
        <v>10</v>
      </c>
      <c r="D26" s="34"/>
      <c r="E26" s="34"/>
      <c r="F26" s="44"/>
      <c r="G26" s="44"/>
      <c r="H26" s="44"/>
      <c r="I26" s="34"/>
      <c r="J26" s="20"/>
      <c r="N26" s="36"/>
      <c r="O26" s="64" t="s">
        <v>10</v>
      </c>
      <c r="P26" s="34"/>
      <c r="Q26" s="34"/>
      <c r="R26" s="34"/>
      <c r="S26" s="44"/>
      <c r="T26" s="91"/>
      <c r="U26" s="91"/>
      <c r="V26" s="20"/>
      <c r="X26" s="14"/>
      <c r="Y26" s="36"/>
      <c r="Z26" s="64" t="s">
        <v>10</v>
      </c>
      <c r="AA26" s="34"/>
      <c r="AB26" s="34"/>
      <c r="AC26" s="34"/>
      <c r="AD26" s="44"/>
      <c r="AE26" s="91"/>
      <c r="AF26" s="91"/>
      <c r="AG26" s="20"/>
      <c r="AH26" s="137"/>
      <c r="AI26" s="208"/>
      <c r="AJ26" s="208"/>
      <c r="AK26" s="208"/>
      <c r="AL26" s="208"/>
      <c r="AM26" s="208"/>
      <c r="AN26" s="208"/>
      <c r="AO26" s="208"/>
      <c r="AP26" s="208"/>
      <c r="AQ26" s="208"/>
      <c r="AR26" s="208"/>
    </row>
    <row r="27" spans="1:54" x14ac:dyDescent="0.25">
      <c r="B27" s="36"/>
      <c r="C27" s="25"/>
      <c r="D27" s="345" t="s">
        <v>45</v>
      </c>
      <c r="E27" s="335"/>
      <c r="F27" s="44"/>
      <c r="G27" s="346" t="str">
        <f>HYPERLINK(Formules!BG34,Formules!BK34)</f>
        <v>Info hoeken</v>
      </c>
      <c r="H27" s="335"/>
      <c r="I27" s="335"/>
      <c r="J27" s="20"/>
      <c r="M27" s="1"/>
      <c r="N27" s="36"/>
      <c r="O27" s="25"/>
      <c r="P27" s="345" t="s">
        <v>162</v>
      </c>
      <c r="Q27" s="335"/>
      <c r="R27" s="100"/>
      <c r="S27" s="346" t="str">
        <f>HYPERLINK(Formules!BT34,Formules!BX34)</f>
        <v>Info hoeken</v>
      </c>
      <c r="T27" s="335"/>
      <c r="U27" s="335"/>
      <c r="V27" s="20"/>
      <c r="X27" s="14"/>
      <c r="Y27" s="36"/>
      <c r="Z27" s="25"/>
      <c r="AA27" s="338" t="s">
        <v>235</v>
      </c>
      <c r="AB27" s="339"/>
      <c r="AC27" s="100"/>
      <c r="AD27" s="91"/>
      <c r="AE27" s="91"/>
      <c r="AF27" s="91"/>
      <c r="AG27" s="20"/>
      <c r="AH27" s="137"/>
      <c r="AI27" s="208"/>
      <c r="AJ27" s="208"/>
      <c r="AK27" s="208"/>
      <c r="AL27" s="208"/>
      <c r="AM27" s="208"/>
      <c r="AN27" s="208"/>
      <c r="AO27" s="208"/>
      <c r="AP27" s="208"/>
      <c r="AQ27" s="208"/>
      <c r="AR27" s="208"/>
    </row>
    <row r="28" spans="1:54" x14ac:dyDescent="0.25">
      <c r="B28" s="36"/>
      <c r="C28" s="64" t="s">
        <v>70</v>
      </c>
      <c r="D28" s="34"/>
      <c r="E28" s="34"/>
      <c r="F28" s="44"/>
      <c r="G28" s="44"/>
      <c r="H28" s="44"/>
      <c r="I28" s="44"/>
      <c r="J28" s="20"/>
      <c r="K28" s="31"/>
      <c r="L28" s="31"/>
      <c r="M28" s="32"/>
      <c r="N28" s="36"/>
      <c r="O28" s="64" t="s">
        <v>70</v>
      </c>
      <c r="P28" s="34"/>
      <c r="Q28" s="34"/>
      <c r="R28" s="34"/>
      <c r="S28" s="44"/>
      <c r="T28" s="91"/>
      <c r="U28" s="91"/>
      <c r="V28" s="20"/>
      <c r="Y28" s="36"/>
      <c r="Z28" s="64" t="s">
        <v>70</v>
      </c>
      <c r="AA28" s="34"/>
      <c r="AB28" s="34"/>
      <c r="AC28" s="34"/>
      <c r="AD28" s="44"/>
      <c r="AE28" s="91"/>
      <c r="AF28" s="91"/>
      <c r="AG28" s="20"/>
      <c r="AH28" s="137"/>
      <c r="AI28" s="208"/>
      <c r="AJ28" s="208"/>
      <c r="AK28" s="208"/>
      <c r="AL28" s="208"/>
      <c r="AM28" s="208"/>
      <c r="AN28" s="208"/>
      <c r="AO28" s="208"/>
      <c r="AP28" s="208"/>
      <c r="AQ28" s="208"/>
      <c r="AR28" s="208"/>
    </row>
    <row r="29" spans="1:54" x14ac:dyDescent="0.25">
      <c r="B29" s="36"/>
      <c r="C29" s="25"/>
      <c r="D29" s="345" t="s">
        <v>309</v>
      </c>
      <c r="E29" s="335"/>
      <c r="F29" s="44"/>
      <c r="G29" s="346" t="str">
        <f>HYPERLINK(Formules!BG35,Formules!BK35)</f>
        <v>Info sluitingen</v>
      </c>
      <c r="H29" s="335"/>
      <c r="I29" s="335"/>
      <c r="J29" s="20"/>
      <c r="K29" s="3"/>
      <c r="L29" s="1"/>
      <c r="M29" s="1"/>
      <c r="N29" s="36"/>
      <c r="O29" s="25"/>
      <c r="P29" s="345" t="s">
        <v>318</v>
      </c>
      <c r="Q29" s="335"/>
      <c r="R29" s="100"/>
      <c r="S29" s="346" t="str">
        <f>HYPERLINK(Formules!BT35,Formules!BX35)</f>
        <v>Info sluitingen</v>
      </c>
      <c r="T29" s="335"/>
      <c r="U29" s="335"/>
      <c r="V29" s="20"/>
      <c r="Y29" s="36"/>
      <c r="Z29" s="25"/>
      <c r="AA29" s="338" t="s">
        <v>148</v>
      </c>
      <c r="AB29" s="339"/>
      <c r="AC29" s="100"/>
      <c r="AD29" s="91"/>
      <c r="AE29" s="91"/>
      <c r="AF29" s="91"/>
      <c r="AG29" s="20"/>
      <c r="AH29" s="137"/>
      <c r="AI29" s="208"/>
      <c r="AJ29" s="208"/>
      <c r="AK29" s="208"/>
      <c r="AL29" s="208"/>
      <c r="AM29" s="208"/>
      <c r="AN29" s="208"/>
      <c r="AO29" s="208"/>
      <c r="AP29" s="208"/>
      <c r="AQ29" s="208"/>
      <c r="AR29" s="208"/>
      <c r="BB29" s="1"/>
    </row>
    <row r="30" spans="1:54" x14ac:dyDescent="0.25">
      <c r="B30" s="36"/>
      <c r="C30" s="25"/>
      <c r="D30" s="25"/>
      <c r="E30" s="25"/>
      <c r="F30" s="25"/>
      <c r="G30" s="25"/>
      <c r="H30" s="25"/>
      <c r="I30" s="25"/>
      <c r="J30" s="20"/>
      <c r="K30" s="3"/>
      <c r="L30" s="1"/>
      <c r="M30" s="1"/>
      <c r="N30" s="36"/>
      <c r="O30" s="25"/>
      <c r="P30" s="25"/>
      <c r="Q30" s="25"/>
      <c r="R30" s="25"/>
      <c r="S30" s="25"/>
      <c r="T30" s="91"/>
      <c r="U30" s="91"/>
      <c r="V30" s="20"/>
      <c r="Y30" s="36"/>
      <c r="Z30" s="25"/>
      <c r="AA30" s="25"/>
      <c r="AB30" s="25"/>
      <c r="AC30" s="25"/>
      <c r="AD30" s="25"/>
      <c r="AE30" s="91"/>
      <c r="AF30" s="91"/>
      <c r="AG30" s="20"/>
      <c r="AH30" s="137"/>
      <c r="AI30" s="208"/>
      <c r="AJ30" s="208"/>
      <c r="AK30" s="208"/>
      <c r="AL30" s="208"/>
      <c r="AM30" s="208"/>
      <c r="AN30" s="208"/>
      <c r="AO30" s="208"/>
      <c r="AP30" s="208"/>
      <c r="AQ30" s="208"/>
      <c r="AR30" s="208"/>
    </row>
    <row r="31" spans="1:54" ht="75.75" customHeight="1" thickBot="1" x14ac:dyDescent="0.3">
      <c r="B31" s="36"/>
      <c r="C31" s="340" t="str">
        <f>Formules!BG117</f>
        <v/>
      </c>
      <c r="D31" s="340"/>
      <c r="E31" s="340"/>
      <c r="F31" s="340"/>
      <c r="G31" s="340"/>
      <c r="H31" s="340"/>
      <c r="I31" s="340"/>
      <c r="J31" s="20"/>
      <c r="K31" s="3"/>
      <c r="L31" s="1"/>
      <c r="M31" s="1"/>
      <c r="N31" s="36"/>
      <c r="O31" s="340" t="str">
        <f>Formules!BT117</f>
        <v/>
      </c>
      <c r="P31" s="340"/>
      <c r="Q31" s="340"/>
      <c r="R31" s="340"/>
      <c r="S31" s="340"/>
      <c r="T31" s="340"/>
      <c r="U31" s="340"/>
      <c r="V31" s="20"/>
      <c r="Y31" s="36"/>
      <c r="Z31" s="340" t="str">
        <f>Formules!CG117</f>
        <v/>
      </c>
      <c r="AA31" s="340"/>
      <c r="AB31" s="340"/>
      <c r="AC31" s="340"/>
      <c r="AD31" s="340"/>
      <c r="AE31" s="340"/>
      <c r="AF31" s="340"/>
      <c r="AG31" s="20"/>
      <c r="AH31" s="137"/>
      <c r="BB31" s="1"/>
    </row>
    <row r="32" spans="1:54" ht="16.5" thickTop="1" thickBot="1" x14ac:dyDescent="0.3">
      <c r="B32" s="36"/>
      <c r="C32" s="1"/>
      <c r="D32" s="39"/>
      <c r="E32" s="273" t="s">
        <v>29</v>
      </c>
      <c r="F32" s="274"/>
      <c r="G32" s="275"/>
      <c r="H32" s="275"/>
      <c r="I32" s="276"/>
      <c r="J32" s="20"/>
      <c r="K32" s="22"/>
      <c r="L32" s="1"/>
      <c r="M32" s="1"/>
      <c r="N32" s="36"/>
      <c r="O32" s="1"/>
      <c r="P32" s="39"/>
      <c r="Q32" s="273" t="s">
        <v>29</v>
      </c>
      <c r="R32" s="274"/>
      <c r="S32" s="277"/>
      <c r="T32" s="275"/>
      <c r="U32" s="276"/>
      <c r="V32" s="20"/>
      <c r="Y32" s="36"/>
      <c r="Z32" s="1"/>
      <c r="AA32" s="39"/>
      <c r="AB32" s="273" t="s">
        <v>29</v>
      </c>
      <c r="AC32" s="274"/>
      <c r="AD32" s="275"/>
      <c r="AE32" s="275"/>
      <c r="AF32" s="276"/>
      <c r="AG32" s="20"/>
      <c r="AH32" s="137"/>
    </row>
    <row r="33" spans="2:54" ht="15.75" thickTop="1" x14ac:dyDescent="0.25">
      <c r="B33" s="36"/>
      <c r="C33" s="1"/>
      <c r="D33" s="1"/>
      <c r="E33" s="1"/>
      <c r="G33" s="11"/>
      <c r="H33" s="11"/>
      <c r="I33" s="11"/>
      <c r="J33" s="20"/>
      <c r="K33" s="22"/>
      <c r="L33" s="31"/>
      <c r="M33" s="32"/>
      <c r="N33" s="36"/>
      <c r="O33" s="1"/>
      <c r="P33" s="1"/>
      <c r="S33" s="11"/>
      <c r="T33" s="11"/>
      <c r="U33" s="11"/>
      <c r="V33" s="20"/>
      <c r="Y33" s="36"/>
      <c r="Z33" s="1"/>
      <c r="AA33" s="1"/>
      <c r="AD33" s="11"/>
      <c r="AE33" s="11"/>
      <c r="AF33" s="11"/>
      <c r="AG33" s="20"/>
      <c r="AH33" s="137"/>
      <c r="BB33" s="1"/>
    </row>
    <row r="34" spans="2:54" x14ac:dyDescent="0.25">
      <c r="B34" s="36"/>
      <c r="C34" s="1"/>
      <c r="D34" s="334" t="str">
        <f>HYPERLINK(Formules!BG46,Formules!BK46)</f>
        <v>9mm berken met 1mm HPL</v>
      </c>
      <c r="E34" s="335"/>
      <c r="F34" s="84"/>
      <c r="G34" s="84"/>
      <c r="H34" s="84"/>
      <c r="I34" s="84"/>
      <c r="J34" s="20"/>
      <c r="K34" s="22"/>
      <c r="L34" s="1"/>
      <c r="N34" s="36"/>
      <c r="O34" s="1"/>
      <c r="P34" s="334" t="str">
        <f>HYPERLINK(Formules!BT42,Formules!BX42)</f>
        <v>9mm berken met 1mm HPL</v>
      </c>
      <c r="Q34" s="335"/>
      <c r="R34" s="95"/>
      <c r="S34" s="95"/>
      <c r="T34" s="95"/>
      <c r="U34" s="95"/>
      <c r="V34" s="20"/>
      <c r="Y34" s="36"/>
      <c r="Z34" s="1"/>
      <c r="AA34" s="334" t="str">
        <f>HYPERLINK(Formules!CG42,Formules!CJ42)</f>
        <v>9mm betonplex</v>
      </c>
      <c r="AB34" s="335"/>
      <c r="AC34" s="95"/>
      <c r="AD34" s="95"/>
      <c r="AE34" s="95"/>
      <c r="AF34" s="95"/>
      <c r="AG34" s="20"/>
      <c r="AH34" s="137"/>
      <c r="AI34" s="6"/>
      <c r="AJ34" s="6"/>
      <c r="AK34" s="6"/>
      <c r="AL34" s="6"/>
      <c r="AM34" s="6"/>
      <c r="AN34" s="6"/>
      <c r="AO34" s="6"/>
      <c r="AP34" s="6"/>
      <c r="AQ34" s="6"/>
      <c r="AR34" s="6"/>
      <c r="AS34" s="6"/>
      <c r="AT34" s="6"/>
      <c r="AU34" s="6"/>
      <c r="AV34" s="6"/>
      <c r="AW34" s="6"/>
      <c r="AX34" s="6"/>
      <c r="AY34" s="6"/>
      <c r="BB34" s="1"/>
    </row>
    <row r="35" spans="2:54" x14ac:dyDescent="0.25">
      <c r="B35" s="36"/>
      <c r="C35" s="1"/>
      <c r="D35" s="349" t="s">
        <v>31</v>
      </c>
      <c r="E35" s="342"/>
      <c r="F35" s="42" t="s">
        <v>32</v>
      </c>
      <c r="G35" s="42" t="s">
        <v>7</v>
      </c>
      <c r="H35" s="42"/>
      <c r="I35" s="47" t="s">
        <v>18</v>
      </c>
      <c r="J35" s="20"/>
      <c r="K35" s="22"/>
      <c r="L35" s="1"/>
      <c r="M35" s="1"/>
      <c r="N35" s="36"/>
      <c r="O35" s="1"/>
      <c r="P35" s="349" t="s">
        <v>31</v>
      </c>
      <c r="Q35" s="342"/>
      <c r="R35" s="42" t="s">
        <v>32</v>
      </c>
      <c r="S35" s="42" t="s">
        <v>7</v>
      </c>
      <c r="T35" s="42"/>
      <c r="U35" s="47" t="s">
        <v>18</v>
      </c>
      <c r="V35" s="20"/>
      <c r="Y35" s="36"/>
      <c r="Z35" s="1"/>
      <c r="AA35" s="349" t="s">
        <v>31</v>
      </c>
      <c r="AB35" s="342"/>
      <c r="AC35" s="42" t="s">
        <v>32</v>
      </c>
      <c r="AD35" s="42" t="s">
        <v>7</v>
      </c>
      <c r="AE35" s="42"/>
      <c r="AF35" s="47" t="s">
        <v>18</v>
      </c>
      <c r="AG35" s="20"/>
      <c r="AH35" s="137"/>
      <c r="AI35" s="6"/>
      <c r="AJ35" s="6"/>
      <c r="AK35" s="6"/>
      <c r="AL35" s="6"/>
      <c r="AM35" s="6"/>
      <c r="AN35" s="6"/>
      <c r="AO35" s="6"/>
      <c r="AP35" s="6"/>
      <c r="AQ35" s="6"/>
      <c r="AR35" s="6"/>
      <c r="AS35" s="6"/>
      <c r="AT35" s="6"/>
      <c r="AU35" s="6"/>
      <c r="AV35" s="6"/>
      <c r="AW35" s="6"/>
      <c r="AX35" s="6"/>
      <c r="AY35" s="6"/>
      <c r="BB35" s="1"/>
    </row>
    <row r="36" spans="2:54" x14ac:dyDescent="0.25">
      <c r="B36" s="36"/>
      <c r="C36" s="1"/>
      <c r="D36" s="332" t="s">
        <v>204</v>
      </c>
      <c r="E36" s="333"/>
      <c r="F36" s="2">
        <v>2</v>
      </c>
      <c r="G36" s="157">
        <f>Formules!G38</f>
        <v>640</v>
      </c>
      <c r="H36" s="170" t="s">
        <v>2</v>
      </c>
      <c r="I36" s="171">
        <f>Formules!I36</f>
        <v>440</v>
      </c>
      <c r="J36" s="20"/>
      <c r="K36" s="22"/>
      <c r="L36" s="1"/>
      <c r="M36" s="1"/>
      <c r="N36" s="36"/>
      <c r="O36" s="1"/>
      <c r="P36" s="332" t="s">
        <v>204</v>
      </c>
      <c r="Q36" s="333"/>
      <c r="R36" s="53">
        <v>2</v>
      </c>
      <c r="S36" s="157">
        <f>Formules!S36</f>
        <v>640</v>
      </c>
      <c r="T36" s="170" t="s">
        <v>2</v>
      </c>
      <c r="U36" s="171">
        <f>Formules!U36</f>
        <v>440</v>
      </c>
      <c r="V36" s="20"/>
      <c r="Y36" s="36"/>
      <c r="Z36" s="1"/>
      <c r="AA36" s="332" t="s">
        <v>12</v>
      </c>
      <c r="AB36" s="333"/>
      <c r="AC36" s="53">
        <v>1</v>
      </c>
      <c r="AD36" s="157">
        <f>Formules!AD36</f>
        <v>638</v>
      </c>
      <c r="AE36" s="170" t="s">
        <v>2</v>
      </c>
      <c r="AF36" s="171">
        <f>Formules!AF36</f>
        <v>438</v>
      </c>
      <c r="AG36" s="20"/>
      <c r="AH36" s="137"/>
      <c r="AI36" s="6"/>
      <c r="AJ36" s="6"/>
      <c r="AK36" s="6"/>
      <c r="AL36" s="6"/>
      <c r="AM36" s="6"/>
      <c r="AN36" s="6"/>
      <c r="AO36" s="6"/>
      <c r="AP36" s="6"/>
      <c r="AQ36" s="6"/>
      <c r="AR36" s="6"/>
      <c r="AS36" s="6"/>
      <c r="AT36" s="6"/>
      <c r="AU36" s="6"/>
      <c r="AV36" s="6"/>
      <c r="AW36" s="6"/>
      <c r="AX36" s="6"/>
      <c r="AY36" s="6"/>
    </row>
    <row r="37" spans="2:54" x14ac:dyDescent="0.25">
      <c r="B37" s="36"/>
      <c r="C37" s="1"/>
      <c r="D37" s="332" t="s">
        <v>286</v>
      </c>
      <c r="E37" s="333"/>
      <c r="F37" s="2">
        <v>2</v>
      </c>
      <c r="G37" s="157">
        <f>Formules!G37</f>
        <v>420</v>
      </c>
      <c r="H37" s="170" t="s">
        <v>2</v>
      </c>
      <c r="I37" s="171">
        <f>Formules!I37</f>
        <v>63</v>
      </c>
      <c r="J37" s="20"/>
      <c r="K37" s="22"/>
      <c r="L37" s="1"/>
      <c r="M37" s="1"/>
      <c r="N37" s="36"/>
      <c r="O37" s="1"/>
      <c r="P37" s="332" t="s">
        <v>286</v>
      </c>
      <c r="Q37" s="333"/>
      <c r="R37" s="53">
        <v>2</v>
      </c>
      <c r="S37" s="157">
        <f>Formules!S37</f>
        <v>420</v>
      </c>
      <c r="T37" s="170" t="s">
        <v>2</v>
      </c>
      <c r="U37" s="171">
        <f>Formules!U37</f>
        <v>62</v>
      </c>
      <c r="V37" s="20"/>
      <c r="Y37" s="36"/>
      <c r="Z37" s="1"/>
      <c r="AA37" s="353" t="str">
        <f>HYPERLINK(Formules!CG56,Formules!CJ56)</f>
        <v>Deksel voor 1 sluiting</v>
      </c>
      <c r="AB37" s="354"/>
      <c r="AC37" s="53">
        <v>1</v>
      </c>
      <c r="AD37" s="157">
        <f>Formules!AD37</f>
        <v>611</v>
      </c>
      <c r="AE37" s="170" t="s">
        <v>2</v>
      </c>
      <c r="AF37" s="171">
        <f>Formules!AF37</f>
        <v>411</v>
      </c>
      <c r="AG37" s="20"/>
      <c r="AH37" s="137"/>
    </row>
    <row r="38" spans="2:54" x14ac:dyDescent="0.25">
      <c r="B38" s="36"/>
      <c r="C38" s="1"/>
      <c r="D38" s="332" t="s">
        <v>287</v>
      </c>
      <c r="E38" s="333"/>
      <c r="F38" s="2">
        <v>2</v>
      </c>
      <c r="G38" s="157">
        <f>Formules!G36</f>
        <v>640</v>
      </c>
      <c r="H38" s="170" t="s">
        <v>2</v>
      </c>
      <c r="I38" s="171">
        <f>I37</f>
        <v>63</v>
      </c>
      <c r="J38" s="20"/>
      <c r="K38" s="22"/>
      <c r="L38" s="32"/>
      <c r="M38" s="1"/>
      <c r="N38" s="36"/>
      <c r="O38" s="1"/>
      <c r="P38" s="332" t="s">
        <v>287</v>
      </c>
      <c r="Q38" s="333"/>
      <c r="R38" s="53">
        <v>2</v>
      </c>
      <c r="S38" s="157">
        <f>Formules!S38</f>
        <v>640</v>
      </c>
      <c r="T38" s="170" t="s">
        <v>2</v>
      </c>
      <c r="U38" s="171">
        <f>Formules!U38</f>
        <v>62</v>
      </c>
      <c r="V38" s="20"/>
      <c r="Y38" s="36"/>
      <c r="Z38" s="1"/>
      <c r="AA38" s="332" t="s">
        <v>288</v>
      </c>
      <c r="AB38" s="333"/>
      <c r="AC38" s="53">
        <v>2</v>
      </c>
      <c r="AD38" s="157">
        <f>Formules!AD38</f>
        <v>420</v>
      </c>
      <c r="AE38" s="170" t="s">
        <v>2</v>
      </c>
      <c r="AF38" s="171">
        <f>Formules!AF38</f>
        <v>319</v>
      </c>
      <c r="AG38" s="20"/>
      <c r="AH38" s="137"/>
    </row>
    <row r="39" spans="2:54" x14ac:dyDescent="0.25">
      <c r="B39" s="36"/>
      <c r="C39" s="1"/>
      <c r="D39" s="332" t="s">
        <v>205</v>
      </c>
      <c r="E39" s="333"/>
      <c r="F39" s="53">
        <v>2</v>
      </c>
      <c r="G39" s="157">
        <f>Formules!G39</f>
        <v>420</v>
      </c>
      <c r="H39" s="170" t="s">
        <v>2</v>
      </c>
      <c r="I39" s="171">
        <f>Formules!I39</f>
        <v>249</v>
      </c>
      <c r="J39" s="20"/>
      <c r="K39" s="22"/>
      <c r="L39" s="1"/>
      <c r="M39" s="1"/>
      <c r="N39" s="36"/>
      <c r="O39" s="1"/>
      <c r="P39" s="332" t="s">
        <v>205</v>
      </c>
      <c r="Q39" s="333"/>
      <c r="R39" s="53">
        <v>2</v>
      </c>
      <c r="S39" s="157">
        <f>Formules!S39</f>
        <v>420</v>
      </c>
      <c r="T39" s="170" t="s">
        <v>2</v>
      </c>
      <c r="U39" s="171">
        <f>Formules!U39</f>
        <v>250</v>
      </c>
      <c r="V39" s="20"/>
      <c r="Y39" s="36"/>
      <c r="Z39" s="1"/>
      <c r="AA39" s="332" t="s">
        <v>289</v>
      </c>
      <c r="AB39" s="333"/>
      <c r="AC39" s="53">
        <v>2</v>
      </c>
      <c r="AD39" s="157">
        <f>Formules!AD39</f>
        <v>638</v>
      </c>
      <c r="AE39" s="170" t="s">
        <v>2</v>
      </c>
      <c r="AF39" s="171">
        <f>Formules!AF39</f>
        <v>319</v>
      </c>
      <c r="AG39" s="20"/>
      <c r="AH39" s="137"/>
    </row>
    <row r="40" spans="2:54" x14ac:dyDescent="0.25">
      <c r="B40" s="36"/>
      <c r="C40" s="1"/>
      <c r="D40" s="332" t="s">
        <v>206</v>
      </c>
      <c r="E40" s="333"/>
      <c r="F40" s="53">
        <v>2</v>
      </c>
      <c r="G40" s="157">
        <f>Formules!G40</f>
        <v>640</v>
      </c>
      <c r="H40" s="170" t="s">
        <v>2</v>
      </c>
      <c r="I40" s="171">
        <f>I39</f>
        <v>249</v>
      </c>
      <c r="J40" s="20"/>
      <c r="K40" s="22"/>
      <c r="L40" s="1"/>
      <c r="M40" s="1"/>
      <c r="N40" s="36"/>
      <c r="O40" s="1"/>
      <c r="P40" s="332" t="s">
        <v>206</v>
      </c>
      <c r="Q40" s="333"/>
      <c r="R40" s="53">
        <v>2</v>
      </c>
      <c r="S40" s="157">
        <f>Formules!S40</f>
        <v>640</v>
      </c>
      <c r="T40" s="170" t="s">
        <v>2</v>
      </c>
      <c r="U40" s="171">
        <f>Formules!U40</f>
        <v>250</v>
      </c>
      <c r="V40" s="20"/>
      <c r="Y40" s="36"/>
      <c r="Z40" s="1"/>
      <c r="AD40" s="172"/>
      <c r="AE40" s="172"/>
      <c r="AF40" s="172"/>
      <c r="AG40" s="20"/>
      <c r="AH40" s="137"/>
    </row>
    <row r="41" spans="2:54" x14ac:dyDescent="0.25">
      <c r="B41" s="36"/>
      <c r="C41" s="1"/>
      <c r="D41" s="332"/>
      <c r="E41" s="333"/>
      <c r="J41" s="20"/>
      <c r="K41" s="22"/>
      <c r="L41" s="32"/>
      <c r="M41" s="1"/>
      <c r="N41" s="36"/>
      <c r="O41" s="1"/>
      <c r="P41" s="342"/>
      <c r="Q41" s="342"/>
      <c r="V41" s="20"/>
      <c r="Y41" s="36"/>
      <c r="Z41" s="1"/>
      <c r="AA41" s="342"/>
      <c r="AB41" s="342"/>
      <c r="AD41" s="172"/>
      <c r="AE41" s="172"/>
      <c r="AF41" s="172"/>
      <c r="AG41" s="20"/>
      <c r="AH41" s="137"/>
      <c r="AI41" s="6"/>
      <c r="AJ41" s="6"/>
      <c r="AK41" s="6"/>
      <c r="AL41" s="6"/>
      <c r="AM41" s="6"/>
      <c r="AN41" s="6"/>
      <c r="AO41" s="6"/>
      <c r="AP41" s="6"/>
      <c r="AQ41" s="6"/>
      <c r="AR41" s="6"/>
      <c r="AS41" s="6"/>
      <c r="AT41" s="6"/>
      <c r="AU41" s="6"/>
      <c r="AV41" s="6"/>
      <c r="AW41" s="6"/>
      <c r="AX41" s="6"/>
      <c r="AY41" s="6"/>
    </row>
    <row r="42" spans="2:54" x14ac:dyDescent="0.25">
      <c r="B42" s="36"/>
      <c r="C42" s="1"/>
      <c r="D42" s="334" t="str">
        <f>HYPERLINK(Formules!BG37,Formules!BK37)</f>
        <v>Hoekprofiel 30*30*1,5mm</v>
      </c>
      <c r="E42" s="335"/>
      <c r="F42" s="38"/>
      <c r="G42" s="38"/>
      <c r="H42" s="38"/>
      <c r="I42" s="38"/>
      <c r="J42" s="20"/>
      <c r="K42" s="22"/>
      <c r="L42" s="1"/>
      <c r="M42" s="1"/>
      <c r="N42" s="36"/>
      <c r="O42" s="1"/>
      <c r="P42" s="334" t="str">
        <f>HYPERLINK(Formules!BT37,Formules!BX37)</f>
        <v>Hoekprofiel 30*30*2,0mm</v>
      </c>
      <c r="Q42" s="335"/>
      <c r="R42" s="38"/>
      <c r="S42" s="144"/>
      <c r="T42" s="144"/>
      <c r="U42" s="144"/>
      <c r="V42" s="20"/>
      <c r="Y42" s="36"/>
      <c r="Z42" s="1"/>
      <c r="AA42" s="334" t="str">
        <f>HYPERLINK(Formules!CG37,Formules!CJ37)</f>
        <v>Hoekprofiel 30*30*1,5mm</v>
      </c>
      <c r="AB42" s="335"/>
      <c r="AC42" s="38"/>
      <c r="AD42" s="173"/>
      <c r="AE42" s="173"/>
      <c r="AF42" s="173"/>
      <c r="AG42" s="20"/>
      <c r="AH42" s="137"/>
    </row>
    <row r="43" spans="2:54" x14ac:dyDescent="0.25">
      <c r="B43" s="36"/>
      <c r="C43" s="1"/>
      <c r="D43" s="349" t="s">
        <v>31</v>
      </c>
      <c r="E43" s="342"/>
      <c r="F43" s="42" t="s">
        <v>32</v>
      </c>
      <c r="G43" s="42" t="s">
        <v>7</v>
      </c>
      <c r="J43" s="20"/>
      <c r="K43" s="22"/>
      <c r="L43" s="1"/>
      <c r="M43" s="1"/>
      <c r="N43" s="36"/>
      <c r="O43" s="1"/>
      <c r="P43" s="349" t="s">
        <v>31</v>
      </c>
      <c r="Q43" s="342"/>
      <c r="R43" s="42" t="s">
        <v>32</v>
      </c>
      <c r="S43" s="145" t="s">
        <v>7</v>
      </c>
      <c r="T43" s="74"/>
      <c r="U43" s="74"/>
      <c r="V43" s="20"/>
      <c r="Y43" s="36"/>
      <c r="Z43" s="1"/>
      <c r="AA43" s="349" t="s">
        <v>31</v>
      </c>
      <c r="AB43" s="342"/>
      <c r="AC43" s="42" t="s">
        <v>32</v>
      </c>
      <c r="AD43" s="174" t="s">
        <v>7</v>
      </c>
      <c r="AE43" s="172"/>
      <c r="AF43" s="172"/>
      <c r="AG43" s="20"/>
      <c r="AH43" s="137"/>
    </row>
    <row r="44" spans="2:54" x14ac:dyDescent="0.25">
      <c r="B44" s="36"/>
      <c r="C44" s="1"/>
      <c r="D44" s="332" t="s">
        <v>7</v>
      </c>
      <c r="E44" s="333"/>
      <c r="F44" s="2">
        <v>4</v>
      </c>
      <c r="G44" s="157">
        <f>Formules!CU33</f>
        <v>582</v>
      </c>
      <c r="H44" s="1"/>
      <c r="I44" s="74"/>
      <c r="J44" s="20"/>
      <c r="K44" s="22"/>
      <c r="L44" s="1"/>
      <c r="N44" s="36"/>
      <c r="O44" s="1"/>
      <c r="P44" s="332" t="s">
        <v>7</v>
      </c>
      <c r="Q44" s="333"/>
      <c r="R44" s="53">
        <v>4</v>
      </c>
      <c r="S44" s="157">
        <f>Formules!S44</f>
        <v>583</v>
      </c>
      <c r="T44" s="146"/>
      <c r="U44" s="74"/>
      <c r="V44" s="20"/>
      <c r="Y44" s="36"/>
      <c r="Z44" s="1"/>
      <c r="AA44" s="332" t="s">
        <v>7</v>
      </c>
      <c r="AB44" s="333"/>
      <c r="AC44" s="53">
        <v>2</v>
      </c>
      <c r="AD44" s="157">
        <f>Formules!AD44</f>
        <v>579</v>
      </c>
      <c r="AE44" s="4"/>
      <c r="AF44" s="172"/>
      <c r="AG44" s="20"/>
      <c r="AH44" s="137"/>
    </row>
    <row r="45" spans="2:54" x14ac:dyDescent="0.25">
      <c r="B45" s="36"/>
      <c r="C45" s="1"/>
      <c r="D45" s="332" t="s">
        <v>18</v>
      </c>
      <c r="E45" s="333"/>
      <c r="F45" s="2">
        <v>4</v>
      </c>
      <c r="G45" s="157">
        <f>Formules!CY34</f>
        <v>382</v>
      </c>
      <c r="H45" s="1"/>
      <c r="J45" s="20"/>
      <c r="K45" s="22"/>
      <c r="L45" s="32"/>
      <c r="N45" s="36"/>
      <c r="O45" s="1"/>
      <c r="P45" s="332" t="s">
        <v>18</v>
      </c>
      <c r="Q45" s="333"/>
      <c r="R45" s="53">
        <v>4</v>
      </c>
      <c r="S45" s="157">
        <f>Formules!S45</f>
        <v>383</v>
      </c>
      <c r="T45" s="146"/>
      <c r="U45" s="74"/>
      <c r="V45" s="20"/>
      <c r="X45" s="234"/>
      <c r="Y45" s="36"/>
      <c r="Z45" s="1"/>
      <c r="AA45" s="332" t="s">
        <v>18</v>
      </c>
      <c r="AB45" s="333"/>
      <c r="AC45" s="53">
        <v>2</v>
      </c>
      <c r="AD45" s="157">
        <f>Formules!AD45</f>
        <v>379</v>
      </c>
      <c r="AE45" s="4"/>
      <c r="AF45" s="172"/>
      <c r="AG45" s="20"/>
      <c r="AH45" s="137"/>
    </row>
    <row r="46" spans="2:54" x14ac:dyDescent="0.25">
      <c r="B46" s="36"/>
      <c r="C46" s="1"/>
      <c r="D46" s="332" t="s">
        <v>66</v>
      </c>
      <c r="E46" s="333"/>
      <c r="F46" s="2">
        <f>Formules!F46</f>
        <v>4</v>
      </c>
      <c r="G46" s="171">
        <f>Formules!CV36</f>
        <v>27</v>
      </c>
      <c r="J46" s="20"/>
      <c r="K46" s="22"/>
      <c r="L46" s="32"/>
      <c r="N46" s="36"/>
      <c r="O46" s="1"/>
      <c r="P46" s="332" t="s">
        <v>66</v>
      </c>
      <c r="Q46" s="333"/>
      <c r="R46" s="53">
        <f>IF(Formules!BE120&lt;15,"-",4)</f>
        <v>4</v>
      </c>
      <c r="S46" s="171">
        <f>Formules!S46</f>
        <v>24.5</v>
      </c>
      <c r="T46" s="74"/>
      <c r="U46" s="74"/>
      <c r="V46" s="20"/>
      <c r="Y46" s="36"/>
      <c r="Z46" s="1"/>
      <c r="AA46" s="332" t="s">
        <v>290</v>
      </c>
      <c r="AB46" s="333"/>
      <c r="AC46" s="53">
        <v>4</v>
      </c>
      <c r="AD46" s="157">
        <f>Formules!AD46</f>
        <v>270</v>
      </c>
      <c r="AE46" s="172"/>
      <c r="AF46" s="172"/>
      <c r="AG46" s="20"/>
      <c r="AH46" s="137"/>
      <c r="AI46" s="7"/>
      <c r="AJ46" s="7"/>
      <c r="AK46" s="7"/>
      <c r="AL46" s="7"/>
      <c r="AM46" s="7"/>
      <c r="AN46" s="7"/>
      <c r="AO46" s="7"/>
      <c r="AP46" s="7"/>
      <c r="AQ46" s="7"/>
      <c r="AR46" s="7"/>
      <c r="AS46" s="7"/>
      <c r="AT46" s="7"/>
      <c r="AU46" s="7"/>
      <c r="AV46" s="7"/>
      <c r="AW46" s="7"/>
      <c r="AX46" s="7"/>
      <c r="AY46" s="7"/>
    </row>
    <row r="47" spans="2:54" x14ac:dyDescent="0.25">
      <c r="B47" s="36"/>
      <c r="C47" s="1"/>
      <c r="D47" s="332" t="s">
        <v>138</v>
      </c>
      <c r="E47" s="333"/>
      <c r="F47" s="53">
        <f>Formules!F47</f>
        <v>4</v>
      </c>
      <c r="G47" s="171">
        <f>Formules!DA37</f>
        <v>211</v>
      </c>
      <c r="J47" s="20"/>
      <c r="K47" s="22"/>
      <c r="L47" s="32"/>
      <c r="N47" s="36"/>
      <c r="O47" s="1"/>
      <c r="P47" s="332" t="s">
        <v>138</v>
      </c>
      <c r="Q47" s="333"/>
      <c r="R47" s="53">
        <f>IF(Formules!BE121&lt;15,"-",4)</f>
        <v>4</v>
      </c>
      <c r="S47" s="171">
        <f>Formules!S47</f>
        <v>212.5</v>
      </c>
      <c r="T47" s="74"/>
      <c r="U47" s="74"/>
      <c r="V47" s="20"/>
      <c r="Y47" s="36"/>
      <c r="Z47" s="1"/>
      <c r="AA47" s="342"/>
      <c r="AB47" s="342"/>
      <c r="AC47" s="53"/>
      <c r="AD47" s="4"/>
      <c r="AE47" s="172"/>
      <c r="AF47" s="172"/>
      <c r="AG47" s="20"/>
      <c r="AH47" s="137"/>
    </row>
    <row r="48" spans="2:54" x14ac:dyDescent="0.25">
      <c r="B48" s="36"/>
      <c r="C48" s="1"/>
      <c r="D48" s="332"/>
      <c r="E48" s="333"/>
      <c r="F48" s="10"/>
      <c r="G48" s="11"/>
      <c r="H48" s="11"/>
      <c r="I48" s="11"/>
      <c r="J48" s="20"/>
      <c r="K48" s="22"/>
      <c r="L48" s="32"/>
      <c r="M48" s="1"/>
      <c r="N48" s="36"/>
      <c r="O48" s="1"/>
      <c r="P48" s="355"/>
      <c r="Q48" s="342"/>
      <c r="R48" s="10"/>
      <c r="S48" s="76"/>
      <c r="T48" s="76"/>
      <c r="U48" s="76"/>
      <c r="V48" s="20"/>
      <c r="Y48" s="36"/>
      <c r="Z48" s="1"/>
      <c r="AA48" s="355"/>
      <c r="AB48" s="342"/>
      <c r="AC48" s="10"/>
      <c r="AD48" s="175"/>
      <c r="AE48" s="175"/>
      <c r="AF48" s="175"/>
      <c r="AG48" s="20"/>
      <c r="AH48" s="137"/>
    </row>
    <row r="49" spans="2:34" x14ac:dyDescent="0.25">
      <c r="B49" s="36"/>
      <c r="C49" s="1"/>
      <c r="D49" s="334" t="str">
        <f>HYPERLINK(Formules!BG47,Formules!BK47)</f>
        <v>10mm sluitprofiel</v>
      </c>
      <c r="E49" s="335"/>
      <c r="F49" s="38"/>
      <c r="G49" s="38"/>
      <c r="H49" s="38"/>
      <c r="I49" s="38"/>
      <c r="J49" s="20"/>
      <c r="K49" s="22"/>
      <c r="L49" s="1"/>
      <c r="M49" s="1"/>
      <c r="N49" s="36"/>
      <c r="O49" s="1"/>
      <c r="P49" s="334" t="str">
        <f>HYPERLINK(Formules!BT39,Formules!BX39)</f>
        <v>10mm Sluitprofiel 2mm dik</v>
      </c>
      <c r="Q49" s="335"/>
      <c r="R49" s="38"/>
      <c r="S49" s="144"/>
      <c r="T49" s="144"/>
      <c r="U49" s="144"/>
      <c r="V49" s="20"/>
      <c r="Y49" s="36"/>
      <c r="Z49" s="1"/>
      <c r="AA49" s="334" t="str">
        <f>HYPERLINK(Formules!CG39,Formules!CJ39)</f>
        <v>Slam-lidprofiel 9mm</v>
      </c>
      <c r="AB49" s="335"/>
      <c r="AC49" s="38"/>
      <c r="AD49" s="173"/>
      <c r="AE49" s="173"/>
      <c r="AF49" s="173"/>
      <c r="AG49" s="20"/>
      <c r="AH49" s="137"/>
    </row>
    <row r="50" spans="2:34" x14ac:dyDescent="0.25">
      <c r="B50" s="36"/>
      <c r="C50" s="1"/>
      <c r="D50" s="349" t="s">
        <v>31</v>
      </c>
      <c r="E50" s="342"/>
      <c r="F50" s="42" t="s">
        <v>32</v>
      </c>
      <c r="G50" s="42" t="s">
        <v>7</v>
      </c>
      <c r="H50" s="11"/>
      <c r="I50" s="11"/>
      <c r="J50" s="20"/>
      <c r="K50" s="22"/>
      <c r="L50" s="32"/>
      <c r="M50" s="1"/>
      <c r="N50" s="36"/>
      <c r="O50" s="1"/>
      <c r="P50" s="349" t="s">
        <v>31</v>
      </c>
      <c r="Q50" s="342"/>
      <c r="R50" s="42" t="s">
        <v>32</v>
      </c>
      <c r="S50" s="145" t="s">
        <v>7</v>
      </c>
      <c r="T50" s="76"/>
      <c r="U50" s="76"/>
      <c r="V50" s="20"/>
      <c r="Y50" s="36"/>
      <c r="Z50" s="1"/>
      <c r="AA50" s="349" t="s">
        <v>31</v>
      </c>
      <c r="AB50" s="342"/>
      <c r="AC50" s="42" t="s">
        <v>32</v>
      </c>
      <c r="AD50" s="174" t="s">
        <v>7</v>
      </c>
      <c r="AE50" s="175"/>
      <c r="AF50" s="175"/>
      <c r="AG50" s="20"/>
      <c r="AH50" s="137"/>
    </row>
    <row r="51" spans="2:34" x14ac:dyDescent="0.25">
      <c r="B51" s="36"/>
      <c r="C51" s="1"/>
      <c r="D51" s="332" t="s">
        <v>284</v>
      </c>
      <c r="E51" s="333"/>
      <c r="F51" s="2">
        <v>2</v>
      </c>
      <c r="G51" s="1">
        <f>$G36+2*Formules!$BE30</f>
        <v>643</v>
      </c>
      <c r="H51" s="1"/>
      <c r="J51" s="20"/>
      <c r="K51" s="22"/>
      <c r="L51" s="1"/>
      <c r="M51" s="9"/>
      <c r="N51" s="36"/>
      <c r="O51" s="1"/>
      <c r="P51" s="332" t="s">
        <v>284</v>
      </c>
      <c r="Q51" s="333"/>
      <c r="R51" s="53">
        <v>2</v>
      </c>
      <c r="S51" s="157">
        <f>Formules!S51</f>
        <v>644</v>
      </c>
      <c r="T51" s="146"/>
      <c r="U51" s="74"/>
      <c r="V51" s="20"/>
      <c r="Y51" s="36"/>
      <c r="Z51" s="1"/>
      <c r="AA51" s="332" t="s">
        <v>284</v>
      </c>
      <c r="AB51" s="333"/>
      <c r="AC51" s="53">
        <v>2</v>
      </c>
      <c r="AD51" s="157">
        <f>Formules!AD51</f>
        <v>642</v>
      </c>
      <c r="AE51" s="4"/>
      <c r="AF51" s="172"/>
      <c r="AG51" s="20"/>
      <c r="AH51" s="137"/>
    </row>
    <row r="52" spans="2:34" x14ac:dyDescent="0.25">
      <c r="B52" s="36"/>
      <c r="C52" s="1"/>
      <c r="D52" s="332" t="s">
        <v>285</v>
      </c>
      <c r="E52" s="333"/>
      <c r="F52" s="2">
        <v>2</v>
      </c>
      <c r="G52" s="1">
        <f>I36+2*Formules!$BE30</f>
        <v>443</v>
      </c>
      <c r="H52" s="1"/>
      <c r="J52" s="20"/>
      <c r="K52" s="22"/>
      <c r="L52" s="1"/>
      <c r="M52" s="9"/>
      <c r="N52" s="36"/>
      <c r="O52" s="1"/>
      <c r="P52" s="332" t="s">
        <v>285</v>
      </c>
      <c r="Q52" s="333"/>
      <c r="R52" s="53">
        <v>2</v>
      </c>
      <c r="S52" s="157">
        <f>Formules!S52</f>
        <v>444</v>
      </c>
      <c r="T52" s="146"/>
      <c r="U52" s="74"/>
      <c r="V52" s="20"/>
      <c r="Y52" s="36"/>
      <c r="Z52" s="1"/>
      <c r="AA52" s="332" t="s">
        <v>285</v>
      </c>
      <c r="AB52" s="333"/>
      <c r="AC52" s="53">
        <v>2</v>
      </c>
      <c r="AD52" s="157">
        <f>Formules!AD52</f>
        <v>442</v>
      </c>
      <c r="AE52" s="4"/>
      <c r="AF52" s="172"/>
      <c r="AG52" s="20"/>
      <c r="AH52" s="137"/>
    </row>
    <row r="53" spans="2:34" x14ac:dyDescent="0.25">
      <c r="B53" s="36"/>
      <c r="C53" s="1"/>
      <c r="D53" s="332"/>
      <c r="E53" s="333"/>
      <c r="F53" s="49"/>
      <c r="G53" s="1"/>
      <c r="H53" s="1"/>
      <c r="J53" s="20"/>
      <c r="K53" s="22"/>
      <c r="L53" s="1"/>
      <c r="M53" s="1"/>
      <c r="N53" s="36"/>
      <c r="O53" s="1"/>
      <c r="P53" s="355"/>
      <c r="Q53" s="342"/>
      <c r="R53" s="53"/>
      <c r="S53" s="146"/>
      <c r="T53" s="146"/>
      <c r="U53" s="74"/>
      <c r="V53" s="20"/>
      <c r="Y53" s="36"/>
      <c r="Z53" s="1"/>
      <c r="AA53" s="355"/>
      <c r="AB53" s="342"/>
      <c r="AC53" s="53"/>
      <c r="AD53" s="1"/>
      <c r="AE53" s="1"/>
      <c r="AG53" s="20"/>
      <c r="AH53" s="137"/>
    </row>
    <row r="54" spans="2:34" x14ac:dyDescent="0.25">
      <c r="B54" s="36"/>
      <c r="C54" s="1"/>
      <c r="D54" s="350" t="s">
        <v>10</v>
      </c>
      <c r="E54" s="342"/>
      <c r="F54" s="38"/>
      <c r="G54" s="303"/>
      <c r="H54" s="303"/>
      <c r="I54" s="303"/>
      <c r="J54" s="20"/>
      <c r="K54" s="22"/>
      <c r="L54" s="1"/>
      <c r="M54" s="1"/>
      <c r="N54" s="36"/>
      <c r="O54" s="1"/>
      <c r="P54" s="350" t="s">
        <v>10</v>
      </c>
      <c r="Q54" s="342"/>
      <c r="R54" s="38"/>
      <c r="S54" s="306"/>
      <c r="T54" s="306"/>
      <c r="U54" s="306"/>
      <c r="V54" s="20"/>
      <c r="Y54" s="36"/>
      <c r="Z54" s="1"/>
      <c r="AA54" s="350" t="s">
        <v>10</v>
      </c>
      <c r="AB54" s="342"/>
      <c r="AC54" s="38"/>
      <c r="AD54" s="350"/>
      <c r="AE54" s="342"/>
      <c r="AF54" s="342"/>
      <c r="AG54" s="20"/>
      <c r="AH54" s="137"/>
    </row>
    <row r="55" spans="2:34" x14ac:dyDescent="0.25">
      <c r="B55" s="36"/>
      <c r="C55" s="1"/>
      <c r="D55" s="349" t="s">
        <v>31</v>
      </c>
      <c r="E55" s="342"/>
      <c r="F55" s="42" t="s">
        <v>32</v>
      </c>
      <c r="G55" s="42"/>
      <c r="H55" s="11"/>
      <c r="I55" s="11"/>
      <c r="J55" s="20"/>
      <c r="K55" s="22"/>
      <c r="L55" s="1"/>
      <c r="M55" s="1"/>
      <c r="N55" s="36"/>
      <c r="O55" s="1"/>
      <c r="P55" s="349" t="s">
        <v>31</v>
      </c>
      <c r="Q55" s="342"/>
      <c r="R55" s="42" t="s">
        <v>32</v>
      </c>
      <c r="S55" s="145"/>
      <c r="T55" s="76"/>
      <c r="U55" s="76"/>
      <c r="V55" s="20"/>
      <c r="Y55" s="36"/>
      <c r="Z55" s="1"/>
      <c r="AA55" s="349" t="s">
        <v>31</v>
      </c>
      <c r="AB55" s="342"/>
      <c r="AC55" s="42" t="s">
        <v>32</v>
      </c>
      <c r="AD55" s="42"/>
      <c r="AE55" s="11"/>
      <c r="AF55" s="11"/>
      <c r="AG55" s="20"/>
      <c r="AH55" s="137"/>
    </row>
    <row r="56" spans="2:34" x14ac:dyDescent="0.25">
      <c r="B56" s="36"/>
      <c r="C56" s="1"/>
      <c r="D56" s="353" t="str">
        <f>HYPERLINK(Formules!BG64,Formules!BK64)</f>
        <v>Overzethoek</v>
      </c>
      <c r="E56" s="354"/>
      <c r="F56" s="53">
        <f>Formules!BL64</f>
        <v>8</v>
      </c>
      <c r="G56" s="42"/>
      <c r="H56" s="11"/>
      <c r="I56" s="11"/>
      <c r="J56" s="20"/>
      <c r="K56" s="22"/>
      <c r="L56" s="1"/>
      <c r="M56" s="1"/>
      <c r="N56" s="36"/>
      <c r="O56" s="1"/>
      <c r="P56" s="353" t="str">
        <f>HYPERLINK(Formules!BT64,Formules!BX64)</f>
        <v>Overzethoek R5</v>
      </c>
      <c r="Q56" s="354"/>
      <c r="R56" s="170">
        <f>Formules!R56</f>
        <v>8</v>
      </c>
      <c r="S56" s="145"/>
      <c r="T56" s="76"/>
      <c r="U56" s="76"/>
      <c r="V56" s="20"/>
      <c r="Y56" s="36"/>
      <c r="Z56" s="1"/>
      <c r="AA56" s="353" t="str">
        <f>HYPERLINK(Formules!CG46,Formules!CJ46)</f>
        <v>Platte hoek, 49mm</v>
      </c>
      <c r="AB56" s="354"/>
      <c r="AC56" s="170">
        <f>Formules!AC56</f>
        <v>4</v>
      </c>
      <c r="AD56" s="42"/>
      <c r="AE56" s="11"/>
      <c r="AF56" s="11"/>
      <c r="AG56" s="20"/>
      <c r="AH56" s="137"/>
    </row>
    <row r="57" spans="2:34" x14ac:dyDescent="0.25">
      <c r="B57" s="36"/>
      <c r="C57" s="1"/>
      <c r="D57" s="353" t="str">
        <f>HYPERLINK(Formules!BG70,Formules!BK70)</f>
        <v>Grote balhoek</v>
      </c>
      <c r="E57" s="354"/>
      <c r="F57" s="53">
        <f>Formules!BL70</f>
        <v>8</v>
      </c>
      <c r="G57" s="82"/>
      <c r="H57" s="127"/>
      <c r="I57" s="127"/>
      <c r="J57" s="20"/>
      <c r="K57" s="1"/>
      <c r="L57" s="1"/>
      <c r="M57" s="9"/>
      <c r="N57" s="36"/>
      <c r="O57" s="1"/>
      <c r="P57" s="353" t="str">
        <f>HYPERLINK(Formules!BT70,Formules!BX70)</f>
        <v>Grote balhoek R5</v>
      </c>
      <c r="Q57" s="354"/>
      <c r="R57" s="53">
        <f>Formules!BY70</f>
        <v>8</v>
      </c>
      <c r="S57" s="147"/>
      <c r="T57" s="148"/>
      <c r="U57" s="148"/>
      <c r="V57" s="20"/>
      <c r="Y57" s="36"/>
      <c r="Z57" s="1"/>
      <c r="AA57" s="353" t="str">
        <f>HYPERLINK(Formules!CG47,Formules!CJ47)</f>
        <v>Platte hoek, Slam-lid</v>
      </c>
      <c r="AB57" s="354"/>
      <c r="AC57" s="170">
        <f>Formules!AC57</f>
        <v>4</v>
      </c>
      <c r="AD57" s="92"/>
      <c r="AE57" s="127"/>
      <c r="AF57" s="127"/>
      <c r="AG57" s="20"/>
      <c r="AH57" s="137"/>
    </row>
    <row r="58" spans="2:34" x14ac:dyDescent="0.25">
      <c r="B58" s="36"/>
      <c r="C58" s="1"/>
      <c r="D58" s="353" t="str">
        <f>HYPERLINK(Formules!BG71,Formules!BK71)</f>
        <v/>
      </c>
      <c r="E58" s="354"/>
      <c r="F58" s="53" t="str">
        <f>Formules!BL71</f>
        <v/>
      </c>
      <c r="H58" s="235"/>
      <c r="I58" s="235"/>
      <c r="J58" s="20"/>
      <c r="K58" s="1"/>
      <c r="L58" s="1"/>
      <c r="M58" s="9"/>
      <c r="N58" s="36"/>
      <c r="O58" s="1"/>
      <c r="P58" s="353" t="str">
        <f>HYPERLINK(Formules!BT71,Formules!BX71)</f>
        <v/>
      </c>
      <c r="Q58" s="333"/>
      <c r="R58" s="53" t="str">
        <f>Formules!BY71</f>
        <v/>
      </c>
      <c r="S58" s="74"/>
      <c r="T58" s="147"/>
      <c r="U58" s="147"/>
      <c r="V58" s="20"/>
      <c r="Y58" s="36"/>
      <c r="Z58" s="1"/>
      <c r="AA58" s="342"/>
      <c r="AB58" s="342"/>
      <c r="AE58" s="92"/>
      <c r="AF58" s="92"/>
      <c r="AG58" s="20"/>
      <c r="AH58" s="137"/>
    </row>
    <row r="59" spans="2:34" x14ac:dyDescent="0.25">
      <c r="B59" s="36"/>
      <c r="C59" s="1"/>
      <c r="D59" s="332"/>
      <c r="E59" s="333"/>
      <c r="F59" s="53"/>
      <c r="G59" s="1"/>
      <c r="H59" s="1"/>
      <c r="J59" s="20"/>
      <c r="K59" s="1"/>
      <c r="L59" s="1"/>
      <c r="M59" s="9"/>
      <c r="N59" s="36"/>
      <c r="O59" s="1"/>
      <c r="P59" s="355"/>
      <c r="Q59" s="342"/>
      <c r="R59" s="53"/>
      <c r="S59" s="146"/>
      <c r="T59" s="146"/>
      <c r="U59" s="74"/>
      <c r="V59" s="20"/>
      <c r="Y59" s="36"/>
      <c r="Z59" s="1"/>
      <c r="AA59" s="355"/>
      <c r="AB59" s="342"/>
      <c r="AC59" s="53"/>
      <c r="AD59" s="1"/>
      <c r="AE59" s="1"/>
      <c r="AG59" s="20"/>
      <c r="AH59" s="137"/>
    </row>
    <row r="60" spans="2:34" x14ac:dyDescent="0.25">
      <c r="B60" s="36"/>
      <c r="C60" s="1"/>
      <c r="D60" s="350" t="s">
        <v>53</v>
      </c>
      <c r="E60" s="342"/>
      <c r="F60" s="72"/>
      <c r="G60" s="305"/>
      <c r="H60" s="305"/>
      <c r="I60" s="305"/>
      <c r="J60" s="20"/>
      <c r="K60" s="1"/>
      <c r="L60" s="1"/>
      <c r="M60" s="9"/>
      <c r="N60" s="36"/>
      <c r="O60" s="1"/>
      <c r="P60" s="350" t="s">
        <v>53</v>
      </c>
      <c r="Q60" s="342"/>
      <c r="R60" s="72"/>
      <c r="S60" s="304"/>
      <c r="T60" s="304"/>
      <c r="U60" s="304"/>
      <c r="V60" s="20"/>
      <c r="Y60" s="36"/>
      <c r="Z60" s="1"/>
      <c r="AA60" s="350" t="s">
        <v>200</v>
      </c>
      <c r="AB60" s="342"/>
      <c r="AC60" s="72"/>
      <c r="AD60" s="351"/>
      <c r="AE60" s="352"/>
      <c r="AF60" s="352"/>
      <c r="AG60" s="20"/>
      <c r="AH60" s="137"/>
    </row>
    <row r="61" spans="2:34" x14ac:dyDescent="0.25">
      <c r="B61" s="36"/>
      <c r="C61" s="1"/>
      <c r="D61" s="349" t="s">
        <v>31</v>
      </c>
      <c r="E61" s="342"/>
      <c r="F61" s="42" t="s">
        <v>32</v>
      </c>
      <c r="G61" s="42"/>
      <c r="H61" s="11"/>
      <c r="I61" s="11"/>
      <c r="J61" s="20"/>
      <c r="K61" s="1"/>
      <c r="L61" s="1"/>
      <c r="M61" s="9"/>
      <c r="N61" s="36"/>
      <c r="O61" s="1"/>
      <c r="P61" s="349" t="s">
        <v>31</v>
      </c>
      <c r="Q61" s="342"/>
      <c r="R61" s="42" t="s">
        <v>32</v>
      </c>
      <c r="S61" s="145"/>
      <c r="T61" s="76"/>
      <c r="U61" s="76"/>
      <c r="V61" s="20"/>
      <c r="Y61" s="36"/>
      <c r="Z61" s="1"/>
      <c r="AA61" s="349" t="s">
        <v>31</v>
      </c>
      <c r="AB61" s="342"/>
      <c r="AC61" s="42" t="s">
        <v>32</v>
      </c>
      <c r="AD61" s="42" t="s">
        <v>202</v>
      </c>
      <c r="AE61" s="11"/>
      <c r="AF61" s="11"/>
      <c r="AG61" s="20"/>
      <c r="AH61" s="137"/>
    </row>
    <row r="62" spans="2:34" x14ac:dyDescent="0.25">
      <c r="B62" s="36"/>
      <c r="C62" s="1"/>
      <c r="D62" s="353" t="str">
        <f>HYPERLINK(Formules!BG52,Formules!BK52)</f>
        <v>Middelgrote sluitingen (±10x10cm)</v>
      </c>
      <c r="E62" s="354"/>
      <c r="F62" s="161">
        <f>Formules!BE60</f>
        <v>2</v>
      </c>
      <c r="H62" s="80"/>
      <c r="I62" s="80"/>
      <c r="J62" s="20"/>
      <c r="K62" s="1"/>
      <c r="L62" s="1"/>
      <c r="M62" s="9"/>
      <c r="N62" s="36"/>
      <c r="O62" s="1"/>
      <c r="P62" s="353" t="str">
        <f>HYPERLINK(Formules!BT52,Formules!BX52)</f>
        <v>Grote sluitingen (±13x18cm)</v>
      </c>
      <c r="Q62" s="354"/>
      <c r="R62" s="161">
        <f>Formules!BR60</f>
        <v>2</v>
      </c>
      <c r="S62" s="74"/>
      <c r="T62" s="149"/>
      <c r="U62" s="149"/>
      <c r="V62" s="20"/>
      <c r="Y62" s="36"/>
      <c r="Z62" s="1"/>
      <c r="AA62" s="353" t="str">
        <f>HYPERLINK(Formules!CG51,Formules!CJ51)</f>
        <v>Smal pianoscharnier, 1mm</v>
      </c>
      <c r="AB62" s="354"/>
      <c r="AC62" s="53">
        <v>1</v>
      </c>
      <c r="AD62" s="157">
        <f>Formules!AD62</f>
        <v>505.6</v>
      </c>
      <c r="AE62" s="93"/>
      <c r="AF62" s="93"/>
      <c r="AG62" s="20"/>
      <c r="AH62" s="137"/>
    </row>
    <row r="63" spans="2:34" x14ac:dyDescent="0.25">
      <c r="B63" s="36"/>
      <c r="C63" s="1"/>
      <c r="D63" s="353" t="str">
        <f>HYPERLINK(Formules!BG55,Formules!BK55)</f>
        <v>Middelgrote scharnieren</v>
      </c>
      <c r="E63" s="353"/>
      <c r="F63" s="49">
        <f>Formules!BE61</f>
        <v>2</v>
      </c>
      <c r="H63" s="92"/>
      <c r="I63" s="92"/>
      <c r="J63" s="20"/>
      <c r="K63" s="1"/>
      <c r="L63" s="1"/>
      <c r="M63" s="9"/>
      <c r="N63" s="36"/>
      <c r="O63" s="1"/>
      <c r="P63" s="353" t="str">
        <f>HYPERLINK(Formules!BT55,Formules!BX55)</f>
        <v>Grote sluitingen (±13x18cm)</v>
      </c>
      <c r="Q63" s="354"/>
      <c r="R63" s="53">
        <f>Formules!BR61</f>
        <v>2</v>
      </c>
      <c r="S63" s="74"/>
      <c r="T63" s="147"/>
      <c r="U63" s="147"/>
      <c r="V63" s="20"/>
      <c r="Y63" s="36"/>
      <c r="Z63" s="1"/>
      <c r="AA63" s="353" t="str">
        <f>HYPERLINK(Formules!CG52,Formules!CJ52)</f>
        <v>Dekselstopper met popnagels</v>
      </c>
      <c r="AB63" s="354"/>
      <c r="AC63" s="272">
        <f>Formules!CK52</f>
        <v>1</v>
      </c>
      <c r="AE63" s="92"/>
      <c r="AF63" s="92"/>
      <c r="AG63" s="20"/>
      <c r="AH63" s="137"/>
    </row>
    <row r="64" spans="2:34" x14ac:dyDescent="0.25">
      <c r="B64" s="36"/>
      <c r="C64" s="318"/>
      <c r="D64" s="319"/>
      <c r="E64" s="319"/>
      <c r="F64" s="320"/>
      <c r="G64" s="309"/>
      <c r="H64" s="310"/>
      <c r="I64" s="310"/>
      <c r="J64" s="321"/>
      <c r="K64" s="318"/>
      <c r="L64" s="318"/>
      <c r="M64" s="322"/>
      <c r="N64" s="41"/>
      <c r="O64" s="318"/>
      <c r="P64" s="319"/>
      <c r="Q64" s="317"/>
      <c r="R64" s="320"/>
      <c r="S64" s="323"/>
      <c r="T64" s="324"/>
      <c r="U64" s="324"/>
      <c r="V64" s="321"/>
      <c r="W64" s="309"/>
      <c r="X64" s="309"/>
      <c r="Y64" s="41"/>
      <c r="Z64" s="318"/>
      <c r="AA64" s="353" t="str">
        <f>HYPERLINK(Formules!CG49,Formules!CJ49)</f>
        <v>Slam-lidsluiting</v>
      </c>
      <c r="AB64" s="354"/>
      <c r="AC64" s="316">
        <f>Formules!CK49</f>
        <v>1</v>
      </c>
      <c r="AE64" s="315"/>
      <c r="AF64" s="315"/>
      <c r="AG64" s="20"/>
      <c r="AH64" s="137"/>
    </row>
    <row r="65" spans="2:34" x14ac:dyDescent="0.25">
      <c r="B65" s="36"/>
      <c r="C65" s="1"/>
      <c r="D65" s="332"/>
      <c r="E65" s="333"/>
      <c r="F65" s="1"/>
      <c r="G65" s="11"/>
      <c r="H65" s="11"/>
      <c r="I65" s="11"/>
      <c r="J65" s="20"/>
      <c r="K65" s="1"/>
      <c r="L65" s="1"/>
      <c r="M65" s="9"/>
      <c r="N65" s="36"/>
      <c r="O65" s="1"/>
      <c r="P65" s="355"/>
      <c r="Q65" s="342"/>
      <c r="R65" s="1"/>
      <c r="S65" s="76"/>
      <c r="T65" s="76"/>
      <c r="U65" s="76"/>
      <c r="V65" s="20"/>
      <c r="Y65" s="36"/>
      <c r="Z65" s="1"/>
      <c r="AA65" s="355"/>
      <c r="AB65" s="342"/>
      <c r="AC65" s="278"/>
      <c r="AD65" s="11"/>
      <c r="AE65" s="11"/>
      <c r="AF65" s="11"/>
      <c r="AG65" s="20"/>
      <c r="AH65" s="137"/>
    </row>
    <row r="66" spans="2:34" x14ac:dyDescent="0.25">
      <c r="B66" s="36"/>
      <c r="C66" s="1"/>
      <c r="D66" s="334" t="str">
        <f>IF(N(S10)&lt;&gt;0,HYPERLINK(Formules!BG80,Formules!BK80),"Geen schuim")</f>
        <v>Hardschuim 10mm</v>
      </c>
      <c r="E66" s="335"/>
      <c r="F66" s="38"/>
      <c r="G66" s="38"/>
      <c r="H66" s="38"/>
      <c r="I66" s="38"/>
      <c r="J66" s="20"/>
      <c r="K66" s="1"/>
      <c r="L66" s="1"/>
      <c r="M66" s="9"/>
      <c r="N66" s="36"/>
      <c r="O66" s="1"/>
      <c r="P66" s="334" t="str">
        <f>IF(N(S10)&lt;&gt;0,HYPERLINK(Formules!BG80,Formules!BK80),"Geen schuim")</f>
        <v>Hardschuim 10mm</v>
      </c>
      <c r="Q66" s="335"/>
      <c r="R66" s="38"/>
      <c r="S66" s="144"/>
      <c r="T66" s="144"/>
      <c r="U66" s="144"/>
      <c r="V66" s="20"/>
      <c r="Y66" s="36"/>
      <c r="Z66" s="1"/>
      <c r="AA66" s="334" t="str">
        <f>IF(N(S10)&lt;&gt;0,HYPERLINK(Formules!BG80,Formules!BK80),"Geen schuim")</f>
        <v>Hardschuim 10mm</v>
      </c>
      <c r="AB66" s="335"/>
      <c r="AC66" s="38"/>
      <c r="AD66" s="38"/>
      <c r="AE66" s="38"/>
      <c r="AF66" s="38"/>
      <c r="AG66" s="20"/>
      <c r="AH66" s="137"/>
    </row>
    <row r="67" spans="2:34" x14ac:dyDescent="0.25">
      <c r="B67" s="36"/>
      <c r="D67" s="349" t="str">
        <f>IF(N($S10)&lt;&gt;0,"Omschrijving","")</f>
        <v>Omschrijving</v>
      </c>
      <c r="E67" s="342"/>
      <c r="F67" s="42" t="str">
        <f>IF(N($S10)&lt;&gt;0,"Aantal","")</f>
        <v>Aantal</v>
      </c>
      <c r="G67" s="42" t="str">
        <f>IF(N($S10)&lt;&gt;0,"Lengte","")</f>
        <v>Lengte</v>
      </c>
      <c r="H67" s="42"/>
      <c r="I67" s="47" t="str">
        <f>IF(N($S10)&lt;&gt;0,"Breedte","")</f>
        <v>Breedte</v>
      </c>
      <c r="J67" s="20"/>
      <c r="K67" s="22"/>
      <c r="L67" s="1"/>
      <c r="N67" s="36"/>
      <c r="O67"/>
      <c r="P67" s="349" t="str">
        <f>IF(N($S10)&lt;&gt;0,"Omschrijving","")</f>
        <v>Omschrijving</v>
      </c>
      <c r="Q67" s="342"/>
      <c r="R67" s="42" t="str">
        <f>IF(N($S10)&lt;&gt;0,"Aantal","")</f>
        <v>Aantal</v>
      </c>
      <c r="S67" s="145" t="str">
        <f>IF(N($S10)&lt;&gt;0,"Lengte","")</f>
        <v>Lengte</v>
      </c>
      <c r="T67" s="145"/>
      <c r="U67" s="150" t="str">
        <f>IF(N($S10)&lt;&gt;0,"Breedte","")</f>
        <v>Breedte</v>
      </c>
      <c r="V67" s="20"/>
      <c r="W67" s="1"/>
      <c r="Y67" s="36"/>
      <c r="AA67" s="349" t="str">
        <f>IF(N($S10)&lt;&gt;0,"Omschrijving","")</f>
        <v>Omschrijving</v>
      </c>
      <c r="AB67" s="342"/>
      <c r="AC67" s="42" t="str">
        <f>IF(N($S10)&lt;&gt;0,"Aantal","")</f>
        <v>Aantal</v>
      </c>
      <c r="AD67" s="42" t="str">
        <f>IF(N($S10)&lt;&gt;0,"Lengte","")</f>
        <v>Lengte</v>
      </c>
      <c r="AE67" s="42"/>
      <c r="AF67" s="47" t="str">
        <f>IF(N($S10)&lt;&gt;0,"Breedte","")</f>
        <v>Breedte</v>
      </c>
      <c r="AG67" s="20"/>
      <c r="AH67" s="137"/>
    </row>
    <row r="68" spans="2:34" x14ac:dyDescent="0.25">
      <c r="B68" s="36"/>
      <c r="C68" s="1"/>
      <c r="D68" s="332" t="str">
        <f>IF(N($S10)&lt;&gt;0,"Bodem/dekselplaat","")</f>
        <v>Bodem/dekselplaat</v>
      </c>
      <c r="E68" s="333"/>
      <c r="F68" s="43">
        <f>IF(N($S10)&lt;&gt;0,2,"")</f>
        <v>2</v>
      </c>
      <c r="G68" s="48">
        <f>IF(N($S10)&lt;&gt;0,$S6+2*N($S10),"")</f>
        <v>620</v>
      </c>
      <c r="H68" s="53" t="str">
        <f>IF(N(S$10)&lt;&gt;0,"x","")</f>
        <v>x</v>
      </c>
      <c r="I68" s="171">
        <f>IF(N($S10)&lt;&gt;0,G37,"")</f>
        <v>420</v>
      </c>
      <c r="J68" s="20"/>
      <c r="K68" s="22"/>
      <c r="L68" s="1"/>
      <c r="N68" s="36"/>
      <c r="O68" s="1"/>
      <c r="P68" s="332" t="str">
        <f>IF(N($S10)&lt;&gt;0,"Bodem/dekselplaat","")</f>
        <v>Bodem/dekselplaat</v>
      </c>
      <c r="Q68" s="333"/>
      <c r="R68" s="99">
        <f>IF(N($S10)&lt;&gt;0,2,"")</f>
        <v>2</v>
      </c>
      <c r="S68" s="157">
        <f>IF(N($S10)&lt;&gt;0,$S6+2*N($S10),"")</f>
        <v>620</v>
      </c>
      <c r="T68" s="143" t="str">
        <f>IF(N(S$10)&lt;&gt;0,"x","")</f>
        <v>x</v>
      </c>
      <c r="U68" s="171">
        <f>IF(N($S10)&lt;&gt;0,S37,"")</f>
        <v>420</v>
      </c>
      <c r="V68" s="20"/>
      <c r="Y68" s="36"/>
      <c r="Z68" s="1"/>
      <c r="AA68" s="332" t="str">
        <f>IF(N($S10)&lt;&gt;0,"Bodem","")</f>
        <v>Bodem</v>
      </c>
      <c r="AB68" s="333"/>
      <c r="AC68" s="99">
        <f>IF(N($S10)&lt;&gt;0,1,"")</f>
        <v>1</v>
      </c>
      <c r="AD68" s="48">
        <f>IF(N($S10)&lt;&gt;0,$S6+2*N($S10),"")</f>
        <v>620</v>
      </c>
      <c r="AE68" s="53" t="str">
        <f>IF(N(S$10)&lt;&gt;0,"x","")</f>
        <v>x</v>
      </c>
      <c r="AF68" s="3">
        <f>IF(N($S10)&lt;&gt;0,AD38,"")</f>
        <v>420</v>
      </c>
      <c r="AG68" s="20"/>
      <c r="AH68" s="137"/>
    </row>
    <row r="69" spans="2:34" x14ac:dyDescent="0.25">
      <c r="B69" s="36"/>
      <c r="C69" s="1"/>
      <c r="D69" s="332" t="str">
        <f>IF(N($S10)&lt;&gt;0,"Korte zijwand deksel","")</f>
        <v>Korte zijwand deksel</v>
      </c>
      <c r="E69" s="333"/>
      <c r="F69" s="308">
        <f>IF(N($S10)&lt;&gt;0,2,"")</f>
        <v>2</v>
      </c>
      <c r="G69" s="307">
        <f>IF(N($S10)&lt;&gt;0,$S7,"")</f>
        <v>400</v>
      </c>
      <c r="H69" s="308" t="str">
        <f>IF(N(S$10)&lt;&gt;0,"x","")</f>
        <v>x</v>
      </c>
      <c r="I69" s="136">
        <f>IF(N($S10)&lt;&gt;0,Formules!BE123,"")</f>
        <v>59</v>
      </c>
      <c r="J69" s="20"/>
      <c r="K69" s="22"/>
      <c r="L69" s="1"/>
      <c r="N69" s="36"/>
      <c r="O69" s="1"/>
      <c r="P69" s="332" t="str">
        <f>IF(N($S10)&lt;&gt;0,"Korte zijwand deksel","")</f>
        <v>Korte zijwand deksel</v>
      </c>
      <c r="Q69" s="333"/>
      <c r="R69" s="308">
        <f>IF(N($S10)&lt;&gt;0,2,"")</f>
        <v>2</v>
      </c>
      <c r="S69" s="307">
        <f>IF(N($S10)&lt;&gt;0,$S7,"")</f>
        <v>400</v>
      </c>
      <c r="T69" s="308" t="str">
        <f>IF(N(S$10)&lt;&gt;0,"x","")</f>
        <v>x</v>
      </c>
      <c r="U69" s="136">
        <f>IF(N($S10)&lt;&gt;0,Formules!BR123,"")</f>
        <v>58</v>
      </c>
      <c r="V69" s="20"/>
      <c r="Y69" s="36"/>
      <c r="Z69" s="1"/>
      <c r="AA69" s="332" t="str">
        <f>IF(N($S10)&lt;&gt;0,"Korte zijwand","")</f>
        <v>Korte zijwand</v>
      </c>
      <c r="AB69" s="333"/>
      <c r="AC69" s="99">
        <f>IF(N($S10)&lt;&gt;0,2,"")</f>
        <v>2</v>
      </c>
      <c r="AD69" s="48">
        <f>IF(N($S10)&lt;&gt;0,$S7,"")</f>
        <v>400</v>
      </c>
      <c r="AE69" s="53" t="str">
        <f>IF(N(S$10)&lt;&gt;0,"x","")</f>
        <v>x</v>
      </c>
      <c r="AF69" s="3">
        <f>IF(N($S10)&lt;&gt;0,S8,"")</f>
        <v>300</v>
      </c>
      <c r="AG69" s="20"/>
      <c r="AH69" s="137"/>
    </row>
    <row r="70" spans="2:34" x14ac:dyDescent="0.25">
      <c r="B70" s="36"/>
      <c r="C70" s="1"/>
      <c r="D70" s="332" t="str">
        <f>IF(N($S10)&lt;&gt;0,"Lange zijwand deksel","")</f>
        <v>Lange zijwand deksel</v>
      </c>
      <c r="E70" s="333"/>
      <c r="F70" s="308">
        <f>IF(N($S10)&lt;&gt;0,2,"")</f>
        <v>2</v>
      </c>
      <c r="G70" s="307">
        <f>G68</f>
        <v>620</v>
      </c>
      <c r="H70" s="308" t="str">
        <f>IF(N(S$10)&lt;&gt;0,"x","")</f>
        <v>x</v>
      </c>
      <c r="I70" s="136">
        <f>I69</f>
        <v>59</v>
      </c>
      <c r="J70" s="20"/>
      <c r="K70" s="22"/>
      <c r="L70" s="1"/>
      <c r="N70" s="36"/>
      <c r="O70" s="1"/>
      <c r="P70" s="332" t="str">
        <f>IF(N($S10)&lt;&gt;0,"Lange zijwand deksel","")</f>
        <v>Lange zijwand deksel</v>
      </c>
      <c r="Q70" s="333"/>
      <c r="R70" s="308">
        <f>IF(N($S10)&lt;&gt;0,2,"")</f>
        <v>2</v>
      </c>
      <c r="S70" s="307">
        <f>S68</f>
        <v>620</v>
      </c>
      <c r="T70" s="308" t="str">
        <f>IF(N(S$10)&lt;&gt;0,"x","")</f>
        <v>x</v>
      </c>
      <c r="U70" s="136">
        <f>U69</f>
        <v>58</v>
      </c>
      <c r="V70" s="20"/>
      <c r="Y70" s="36"/>
      <c r="Z70" s="1"/>
      <c r="AA70" s="332" t="str">
        <f>IF(N($S10)&lt;&gt;0,"Lange zijwand","")</f>
        <v>Lange zijwand</v>
      </c>
      <c r="AB70" s="333"/>
      <c r="AC70" s="99">
        <f>IF(N($S10)&lt;&gt;0,2,"")</f>
        <v>2</v>
      </c>
      <c r="AD70" s="48">
        <f>AD68</f>
        <v>620</v>
      </c>
      <c r="AE70" s="53" t="str">
        <f>IF(N(S$10)&lt;&gt;0,"x","")</f>
        <v>x</v>
      </c>
      <c r="AF70" s="3">
        <f>AF69</f>
        <v>300</v>
      </c>
      <c r="AG70" s="20"/>
      <c r="AH70" s="137"/>
    </row>
    <row r="71" spans="2:34" x14ac:dyDescent="0.25">
      <c r="B71" s="36"/>
      <c r="C71" s="1"/>
      <c r="D71" s="332" t="str">
        <f>IF(N($S10)&lt;&gt;0,"Korte zijwand bodem","")</f>
        <v>Korte zijwand bodem</v>
      </c>
      <c r="E71" s="333"/>
      <c r="F71" s="308">
        <f>IF(N($S10)&lt;&gt;0,2,"")</f>
        <v>2</v>
      </c>
      <c r="G71" s="307">
        <f>G69</f>
        <v>400</v>
      </c>
      <c r="H71" s="308" t="str">
        <f>IF(N(S$10)&lt;&gt;0,"x","")</f>
        <v>x</v>
      </c>
      <c r="I71" s="136">
        <f>IF(N($S10)&lt;&gt;0,$S8-Formules!BE123,"")</f>
        <v>241</v>
      </c>
      <c r="J71" s="20"/>
      <c r="K71" s="22"/>
      <c r="N71" s="36"/>
      <c r="O71" s="1"/>
      <c r="P71" s="332" t="str">
        <f>IF(N($S10)&lt;&gt;0,"Korte zijwand bodem","")</f>
        <v>Korte zijwand bodem</v>
      </c>
      <c r="Q71" s="333"/>
      <c r="R71" s="308">
        <f>IF(N($S10)&lt;&gt;0,2,"")</f>
        <v>2</v>
      </c>
      <c r="S71" s="307">
        <f>S69</f>
        <v>400</v>
      </c>
      <c r="T71" s="308" t="str">
        <f>IF(N(S$10)&lt;&gt;0,"x","")</f>
        <v>x</v>
      </c>
      <c r="U71" s="136">
        <f>IF(N($S10)&lt;&gt;0,$S8-Formules!BR123,"")</f>
        <v>242</v>
      </c>
      <c r="V71" s="20"/>
      <c r="Y71" s="36"/>
      <c r="Z71" s="1"/>
      <c r="AA71" s="332" t="str">
        <f>IF(N($S10)&lt;&gt;0,"(Geen schuim in het deksel bij Slam-lid)","")</f>
        <v>(Geen schuim in het deksel bij Slam-lid)</v>
      </c>
      <c r="AB71" s="333"/>
      <c r="AC71" s="333"/>
      <c r="AD71" s="333"/>
      <c r="AE71" s="53"/>
      <c r="AF71" s="3"/>
      <c r="AG71" s="20"/>
      <c r="AH71" s="137"/>
    </row>
    <row r="72" spans="2:34" x14ac:dyDescent="0.25">
      <c r="B72" s="36"/>
      <c r="C72" s="1"/>
      <c r="D72" s="332" t="str">
        <f>IF(N($S10)&lt;&gt;0,"Lange zijwand bodem","")</f>
        <v>Lange zijwand bodem</v>
      </c>
      <c r="E72" s="333"/>
      <c r="F72" s="308">
        <f>IF(N($S10)&lt;&gt;0,2,"")</f>
        <v>2</v>
      </c>
      <c r="G72" s="307">
        <f>G68</f>
        <v>620</v>
      </c>
      <c r="H72" s="308" t="str">
        <f>IF(N(S$10)&lt;&gt;0,"x","")</f>
        <v>x</v>
      </c>
      <c r="I72" s="136">
        <f>I71</f>
        <v>241</v>
      </c>
      <c r="J72" s="20"/>
      <c r="K72" s="22"/>
      <c r="N72" s="36"/>
      <c r="O72" s="1"/>
      <c r="P72" s="332" t="str">
        <f>IF(N($S10)&lt;&gt;0,"Lange zijwand bodem","")</f>
        <v>Lange zijwand bodem</v>
      </c>
      <c r="Q72" s="333"/>
      <c r="R72" s="308">
        <f>IF(N($S10)&lt;&gt;0,2,"")</f>
        <v>2</v>
      </c>
      <c r="S72" s="307">
        <f>S68</f>
        <v>620</v>
      </c>
      <c r="T72" s="308" t="str">
        <f>IF(N(S$10)&lt;&gt;0,"x","")</f>
        <v>x</v>
      </c>
      <c r="U72" s="136">
        <f>U71</f>
        <v>242</v>
      </c>
      <c r="V72" s="20"/>
      <c r="W72" s="1"/>
      <c r="Y72" s="36"/>
      <c r="Z72" s="1"/>
      <c r="AA72" s="342"/>
      <c r="AB72" s="342"/>
      <c r="AC72" s="53"/>
      <c r="AD72" s="48"/>
      <c r="AE72" s="53"/>
      <c r="AF72" s="3"/>
      <c r="AG72" s="20"/>
      <c r="AH72" s="137"/>
    </row>
    <row r="73" spans="2:34" x14ac:dyDescent="0.25">
      <c r="B73" s="36"/>
      <c r="C73" s="1"/>
      <c r="D73" s="332"/>
      <c r="E73" s="333"/>
      <c r="F73" s="53"/>
      <c r="G73" s="48"/>
      <c r="H73" s="53"/>
      <c r="I73" s="171"/>
      <c r="J73" s="20"/>
      <c r="K73" s="22"/>
      <c r="N73" s="36"/>
      <c r="O73" s="1"/>
      <c r="P73" s="362"/>
      <c r="Q73" s="342"/>
      <c r="R73" s="53"/>
      <c r="S73" s="157"/>
      <c r="T73" s="143"/>
      <c r="U73" s="171"/>
      <c r="V73" s="20"/>
      <c r="W73" s="1"/>
      <c r="Y73" s="36"/>
      <c r="Z73" s="1"/>
      <c r="AA73" s="342"/>
      <c r="AB73" s="342"/>
      <c r="AC73" s="53"/>
      <c r="AD73" s="48"/>
      <c r="AE73" s="53"/>
      <c r="AF73" s="3"/>
      <c r="AG73" s="20"/>
      <c r="AH73" s="137"/>
    </row>
    <row r="74" spans="2:34" ht="27" customHeight="1" thickBot="1" x14ac:dyDescent="0.3">
      <c r="B74" s="36"/>
      <c r="C74" s="1"/>
      <c r="D74" s="360" t="s">
        <v>297</v>
      </c>
      <c r="E74" s="361"/>
      <c r="F74" s="302">
        <f>SUM(F36:F73)</f>
        <v>60</v>
      </c>
      <c r="G74" s="314"/>
      <c r="H74" s="297"/>
      <c r="I74" s="298"/>
      <c r="J74" s="299"/>
      <c r="K74" s="300"/>
      <c r="L74" s="208"/>
      <c r="M74" s="208"/>
      <c r="N74" s="301"/>
      <c r="O74" s="281"/>
      <c r="P74" s="360" t="s">
        <v>296</v>
      </c>
      <c r="Q74" s="361"/>
      <c r="R74" s="302">
        <f>SUM(R36:R73)</f>
        <v>60</v>
      </c>
      <c r="S74" s="296"/>
      <c r="T74" s="297"/>
      <c r="U74" s="298"/>
      <c r="V74" s="299"/>
      <c r="W74" s="208"/>
      <c r="X74" s="208"/>
      <c r="Y74" s="301"/>
      <c r="Z74" s="281"/>
      <c r="AA74" s="360" t="s">
        <v>296</v>
      </c>
      <c r="AB74" s="361"/>
      <c r="AC74" s="302">
        <f>SUM(AC36:AC73)</f>
        <v>34</v>
      </c>
      <c r="AD74" s="296"/>
      <c r="AE74" s="297"/>
      <c r="AF74" s="298"/>
      <c r="AG74" s="20"/>
      <c r="AH74" s="137"/>
    </row>
    <row r="75" spans="2:34" ht="16.5" thickTop="1" thickBot="1" x14ac:dyDescent="0.3">
      <c r="B75" s="36"/>
      <c r="C75" s="1"/>
      <c r="D75" s="266"/>
      <c r="E75" s="270" t="s">
        <v>33</v>
      </c>
      <c r="F75" s="268"/>
      <c r="G75" s="269"/>
      <c r="H75" s="269"/>
      <c r="I75" s="269"/>
      <c r="J75" s="20"/>
      <c r="K75" s="22"/>
      <c r="N75" s="36"/>
      <c r="O75" s="1"/>
      <c r="P75" s="39"/>
      <c r="Q75" s="267" t="s">
        <v>33</v>
      </c>
      <c r="R75" s="268"/>
      <c r="S75" s="269"/>
      <c r="T75" s="269"/>
      <c r="U75" s="269"/>
      <c r="V75" s="20"/>
      <c r="Y75" s="36"/>
      <c r="Z75" s="1"/>
      <c r="AA75" s="39"/>
      <c r="AB75" s="267" t="s">
        <v>33</v>
      </c>
      <c r="AC75" s="268"/>
      <c r="AD75" s="269"/>
      <c r="AE75" s="269"/>
      <c r="AF75" s="269"/>
      <c r="AG75" s="20"/>
      <c r="AH75" s="137"/>
    </row>
    <row r="76" spans="2:34" ht="15.75" thickTop="1" x14ac:dyDescent="0.25">
      <c r="B76" s="36"/>
      <c r="C76" s="1"/>
      <c r="D76" s="363" t="str">
        <f>HYPERLINK(Formules!BG93,Formules!BK93)</f>
        <v>Popnagels 5x14mm  (aantal excl. handgrepen)</v>
      </c>
      <c r="E76" s="364"/>
      <c r="F76" s="364"/>
      <c r="G76" s="364"/>
      <c r="H76" s="364"/>
      <c r="I76" s="140">
        <f>Formules!BG139</f>
        <v>128</v>
      </c>
      <c r="J76" s="20"/>
      <c r="K76" s="22"/>
      <c r="N76" s="36"/>
      <c r="O76" s="1"/>
      <c r="P76" s="363" t="str">
        <f>HYPERLINK(Formules!BG93,Formules!BK93)</f>
        <v>Popnagels 5x14mm  (aantal excl. handgrepen)</v>
      </c>
      <c r="Q76" s="364"/>
      <c r="R76" s="364"/>
      <c r="S76" s="364"/>
      <c r="T76" s="364"/>
      <c r="U76" s="140">
        <f>Formules!BG139</f>
        <v>128</v>
      </c>
      <c r="V76" s="20"/>
      <c r="Y76" s="36"/>
      <c r="Z76" s="1"/>
      <c r="AA76" s="363" t="str">
        <f>HYPERLINK(Formules!BG93,Formules!BK93)</f>
        <v>Popnagels 5x14mm  (aantal excl. handgrepen)</v>
      </c>
      <c r="AB76" s="364"/>
      <c r="AC76" s="364"/>
      <c r="AD76" s="364"/>
      <c r="AE76" s="364"/>
      <c r="AF76" s="140">
        <f>Formules!CG139</f>
        <v>68</v>
      </c>
      <c r="AG76" s="20"/>
      <c r="AH76" s="137"/>
    </row>
    <row r="77" spans="2:34" x14ac:dyDescent="0.25">
      <c r="B77" s="36"/>
      <c r="C77" s="1"/>
      <c r="D77" s="353" t="str">
        <f>HYPERLINK(Formules!BG94,Formules!BK94)</f>
        <v>Popnagels 5x11mm  (aantal excl. handgrepen)</v>
      </c>
      <c r="E77" s="354"/>
      <c r="F77" s="354"/>
      <c r="G77" s="354"/>
      <c r="H77" s="354"/>
      <c r="I77" s="140">
        <f>Formules!BJ139</f>
        <v>40</v>
      </c>
      <c r="J77" s="20"/>
      <c r="K77" s="22"/>
      <c r="N77" s="36"/>
      <c r="O77" s="1"/>
      <c r="P77" s="353" t="str">
        <f>HYPERLINK(Formules!BG94,Formules!BK94)</f>
        <v>Popnagels 5x11mm  (aantal excl. handgrepen)</v>
      </c>
      <c r="Q77" s="354"/>
      <c r="R77" s="354"/>
      <c r="S77" s="354"/>
      <c r="T77" s="354"/>
      <c r="U77" s="140">
        <f>Formules!BJ139</f>
        <v>40</v>
      </c>
      <c r="V77" s="20"/>
      <c r="Y77" s="36"/>
      <c r="Z77" s="1"/>
      <c r="AA77" s="353" t="str">
        <f>HYPERLINK(Formules!BG94,Formules!BK94)</f>
        <v>Popnagels 5x11mm  (aantal excl. handgrepen)</v>
      </c>
      <c r="AB77" s="354"/>
      <c r="AC77" s="354"/>
      <c r="AD77" s="354"/>
      <c r="AE77" s="354"/>
      <c r="AF77" s="140">
        <f>Formules!CI135</f>
        <v>22</v>
      </c>
      <c r="AG77" s="20"/>
      <c r="AH77" s="137"/>
    </row>
    <row r="78" spans="2:34" x14ac:dyDescent="0.25">
      <c r="B78" s="36"/>
      <c r="C78" s="1"/>
      <c r="D78" s="353" t="str">
        <f>HYPERLINK(Formules!BG95,Formules!BK95)</f>
        <v>Handgrepen</v>
      </c>
      <c r="E78" s="354"/>
      <c r="F78" s="309"/>
      <c r="G78" s="310"/>
      <c r="H78" s="310"/>
      <c r="J78" s="20"/>
      <c r="K78" s="22"/>
      <c r="N78" s="36"/>
      <c r="O78" s="1"/>
      <c r="P78" s="353" t="str">
        <f>HYPERLINK(Formules!BG95,Formules!BK95)</f>
        <v>Handgrepen</v>
      </c>
      <c r="Q78" s="354"/>
      <c r="R78" s="309"/>
      <c r="S78" s="310"/>
      <c r="T78" s="310"/>
      <c r="V78" s="20"/>
      <c r="Y78" s="36"/>
      <c r="Z78" s="1"/>
      <c r="AA78" s="353" t="str">
        <f>HYPERLINK(Formules!BG95,Formules!BK95)</f>
        <v>Handgrepen</v>
      </c>
      <c r="AB78" s="354"/>
      <c r="AC78" s="309"/>
      <c r="AD78" s="310"/>
      <c r="AE78" s="310"/>
      <c r="AF78" s="14"/>
      <c r="AG78" s="20"/>
      <c r="AH78" s="137"/>
    </row>
    <row r="79" spans="2:34" x14ac:dyDescent="0.25">
      <c r="B79" s="36"/>
      <c r="C79" s="1"/>
      <c r="D79" s="353" t="str">
        <f>HYPERLINK(Formules!BG96,Formules!BK96)</f>
        <v>Voetjes en wielen</v>
      </c>
      <c r="E79" s="354"/>
      <c r="F79" s="309"/>
      <c r="G79" s="311"/>
      <c r="H79" s="311"/>
      <c r="I79">
        <v>4</v>
      </c>
      <c r="J79" s="20"/>
      <c r="K79" s="22"/>
      <c r="N79" s="36"/>
      <c r="O79" s="1"/>
      <c r="P79" s="353" t="str">
        <f>HYPERLINK(Formules!BG96,Formules!BK96)</f>
        <v>Voetjes en wielen</v>
      </c>
      <c r="Q79" s="354"/>
      <c r="R79" s="309"/>
      <c r="S79" s="311"/>
      <c r="T79" s="311"/>
      <c r="U79">
        <v>4</v>
      </c>
      <c r="V79" s="20"/>
      <c r="Y79" s="36"/>
      <c r="Z79" s="1"/>
      <c r="AA79" s="353" t="str">
        <f>HYPERLINK(Formules!BG96,Formules!BK96)</f>
        <v>Voetjes en wielen</v>
      </c>
      <c r="AB79" s="354"/>
      <c r="AC79" s="309"/>
      <c r="AD79" s="311"/>
      <c r="AE79" s="311"/>
      <c r="AF79" s="14">
        <v>4</v>
      </c>
      <c r="AG79" s="20"/>
      <c r="AH79" s="137"/>
    </row>
    <row r="80" spans="2:34" x14ac:dyDescent="0.25">
      <c r="B80" s="36"/>
      <c r="C80" s="1"/>
      <c r="D80" s="353" t="str">
        <f>IF(N($S10)&lt;&gt;0,HYPERLINK(Formules!BG97,Formules!BK97),"")</f>
        <v>Spuitbus lijm 0,5l (1,5m²/bus)</v>
      </c>
      <c r="E80" s="354"/>
      <c r="F80" s="309"/>
      <c r="G80" s="311"/>
      <c r="H80" s="312" t="str">
        <f>IF(N($S10)&lt;&gt;0,"(ongeveer: "&amp;TEXT(Formules!BH143,"0,0")&amp;")","")</f>
        <v>(ongeveer: 0,8)</v>
      </c>
      <c r="I80">
        <f>IF(N($S10)&lt;&gt;0,Formules!BH144,"")</f>
        <v>1</v>
      </c>
      <c r="J80" s="20"/>
      <c r="K80" s="22"/>
      <c r="N80" s="36"/>
      <c r="O80" s="1"/>
      <c r="P80" s="353" t="str">
        <f>IF(N($S10)&lt;&gt;0,HYPERLINK(Formules!BG97,Formules!BK97),"")</f>
        <v>Spuitbus lijm 0,5l (1,5m²/bus)</v>
      </c>
      <c r="Q80" s="354"/>
      <c r="R80" s="309"/>
      <c r="S80" s="311"/>
      <c r="T80" s="312" t="str">
        <f>H80</f>
        <v>(ongeveer: 0,8)</v>
      </c>
      <c r="U80">
        <f>I80</f>
        <v>1</v>
      </c>
      <c r="V80" s="20"/>
      <c r="Y80" s="36"/>
      <c r="Z80" s="1"/>
      <c r="AA80" s="353" t="str">
        <f>IF(N($S10)&lt;&gt;0,HYPERLINK(Formules!BG97,Formules!BK97),"")</f>
        <v>Spuitbus lijm 0,5l (1,5m²/bus)</v>
      </c>
      <c r="AB80" s="354"/>
      <c r="AC80" s="309"/>
      <c r="AD80" s="311"/>
      <c r="AE80" s="312" t="str">
        <f>IF(N($S10)&lt;&gt;0,"(ongeveer: "&amp;TEXT(Formules!CH143,"0,0")&amp;")","")</f>
        <v>(ongeveer: 0,6)</v>
      </c>
      <c r="AF80" s="14">
        <f>IF(N($S10)&lt;&gt;0,Formules!CH144,"")</f>
        <v>1</v>
      </c>
      <c r="AG80" s="20"/>
      <c r="AH80" s="137"/>
    </row>
    <row r="81" spans="1:53" x14ac:dyDescent="0.25">
      <c r="B81" s="36"/>
      <c r="C81" s="1"/>
      <c r="D81" s="353" t="str">
        <f>HYPERLINK(Formules!BG98,Formules!BK98)</f>
        <v>Popnageltang</v>
      </c>
      <c r="E81" s="354"/>
      <c r="F81" s="309"/>
      <c r="G81" s="311"/>
      <c r="H81" s="312"/>
      <c r="J81" s="20"/>
      <c r="K81" s="22"/>
      <c r="N81" s="36"/>
      <c r="O81" s="1"/>
      <c r="P81" s="353" t="str">
        <f>HYPERLINK(Formules!BG98,Formules!BK98)</f>
        <v>Popnageltang</v>
      </c>
      <c r="Q81" s="354"/>
      <c r="R81" s="309"/>
      <c r="S81" s="311"/>
      <c r="T81" s="312"/>
      <c r="V81" s="20"/>
      <c r="Y81" s="36"/>
      <c r="Z81" s="1"/>
      <c r="AA81" s="353" t="str">
        <f>HYPERLINK(Formules!BG98,Formules!BK98)</f>
        <v>Popnageltang</v>
      </c>
      <c r="AB81" s="354"/>
      <c r="AC81" s="309"/>
      <c r="AD81" s="311"/>
      <c r="AE81" s="312"/>
      <c r="AF81" s="14"/>
      <c r="AG81" s="20"/>
      <c r="AH81" s="137"/>
    </row>
    <row r="82" spans="1:53" x14ac:dyDescent="0.25">
      <c r="B82" s="36"/>
      <c r="C82" s="1"/>
      <c r="D82" s="355"/>
      <c r="E82" s="342"/>
      <c r="G82" s="81"/>
      <c r="H82" s="81"/>
      <c r="J82" s="20"/>
      <c r="K82" s="22"/>
      <c r="N82" s="36"/>
      <c r="O82" s="1"/>
      <c r="P82" s="342"/>
      <c r="Q82" s="342"/>
      <c r="S82" s="94"/>
      <c r="T82" s="94"/>
      <c r="V82" s="20"/>
      <c r="Y82" s="36"/>
      <c r="Z82" s="1"/>
      <c r="AA82" s="342"/>
      <c r="AB82" s="342"/>
      <c r="AD82" s="313"/>
      <c r="AE82" s="313"/>
      <c r="AF82" s="14"/>
      <c r="AG82" s="20"/>
      <c r="AH82" s="137"/>
    </row>
    <row r="83" spans="1:53" x14ac:dyDescent="0.25">
      <c r="B83" s="36"/>
      <c r="C83" s="1"/>
      <c r="D83" s="141" t="s">
        <v>272</v>
      </c>
      <c r="E83" s="141"/>
      <c r="G83" s="128"/>
      <c r="H83" s="128"/>
      <c r="J83" s="20"/>
      <c r="K83" s="22"/>
      <c r="N83" s="36"/>
      <c r="O83" s="1"/>
      <c r="P83" s="141" t="s">
        <v>272</v>
      </c>
      <c r="Q83" s="141"/>
      <c r="S83" s="128"/>
      <c r="T83" s="128"/>
      <c r="V83" s="20"/>
      <c r="Y83" s="36"/>
      <c r="Z83" s="1"/>
      <c r="AA83" s="141" t="s">
        <v>294</v>
      </c>
      <c r="AB83" s="141"/>
      <c r="AD83" s="128"/>
      <c r="AE83" s="128"/>
      <c r="AG83" s="20"/>
      <c r="AH83" s="137"/>
    </row>
    <row r="84" spans="1:53" x14ac:dyDescent="0.25">
      <c r="B84" s="36"/>
      <c r="C84" s="1"/>
      <c r="D84" s="1"/>
      <c r="E84" s="141" t="s">
        <v>292</v>
      </c>
      <c r="G84" s="271"/>
      <c r="H84" s="271"/>
      <c r="J84" s="20"/>
      <c r="K84" s="22"/>
      <c r="N84" s="36"/>
      <c r="O84" s="1"/>
      <c r="Q84" s="141" t="s">
        <v>292</v>
      </c>
      <c r="S84" s="271"/>
      <c r="T84" s="271"/>
      <c r="V84" s="20"/>
      <c r="Y84" s="36"/>
      <c r="Z84" s="1"/>
      <c r="AB84" s="141" t="s">
        <v>295</v>
      </c>
      <c r="AD84" s="271"/>
      <c r="AE84" s="271"/>
      <c r="AG84" s="20"/>
      <c r="AH84" s="137"/>
    </row>
    <row r="85" spans="1:53" x14ac:dyDescent="0.25">
      <c r="A85" s="82"/>
      <c r="B85" s="123"/>
      <c r="C85" s="81"/>
      <c r="D85" s="81"/>
      <c r="E85" s="141" t="s">
        <v>293</v>
      </c>
      <c r="F85" s="80"/>
      <c r="G85" s="81"/>
      <c r="H85" s="81"/>
      <c r="I85" s="81"/>
      <c r="J85" s="124"/>
      <c r="K85" s="125"/>
      <c r="L85" s="82"/>
      <c r="M85" s="82"/>
      <c r="N85" s="123"/>
      <c r="O85" s="94"/>
      <c r="Q85" s="141" t="s">
        <v>293</v>
      </c>
      <c r="R85" s="93"/>
      <c r="S85" s="94"/>
      <c r="T85" s="94"/>
      <c r="U85" s="94"/>
      <c r="V85" s="124"/>
      <c r="W85" s="92"/>
      <c r="X85" s="82"/>
      <c r="Y85" s="123"/>
      <c r="Z85" s="94"/>
      <c r="AB85" s="141" t="s">
        <v>276</v>
      </c>
      <c r="AC85" s="93"/>
      <c r="AD85" s="94"/>
      <c r="AE85" s="94"/>
      <c r="AF85" s="94"/>
      <c r="AG85" s="124"/>
      <c r="AH85" s="137"/>
    </row>
    <row r="86" spans="1:53" ht="2.65" customHeight="1" x14ac:dyDescent="0.25">
      <c r="A86" s="82"/>
      <c r="B86" s="123"/>
      <c r="C86" s="123"/>
      <c r="D86" s="123"/>
      <c r="E86" s="123"/>
      <c r="F86" s="123"/>
      <c r="G86" s="123"/>
      <c r="H86" s="123"/>
      <c r="I86" s="123"/>
      <c r="J86" s="124"/>
      <c r="K86" s="125"/>
      <c r="L86" s="82"/>
      <c r="M86" s="82"/>
      <c r="N86" s="123"/>
      <c r="O86" s="123"/>
      <c r="P86" s="123"/>
      <c r="Q86" s="123"/>
      <c r="R86" s="123"/>
      <c r="S86" s="123"/>
      <c r="T86" s="123"/>
      <c r="U86" s="123"/>
      <c r="V86" s="124"/>
      <c r="W86" s="92"/>
      <c r="X86" s="82"/>
      <c r="Y86" s="123"/>
      <c r="Z86" s="123"/>
      <c r="AA86" s="123"/>
      <c r="AB86" s="123"/>
      <c r="AC86" s="123"/>
      <c r="AD86" s="123"/>
      <c r="AE86" s="123"/>
      <c r="AF86" s="123"/>
      <c r="AG86" s="124"/>
      <c r="AH86" s="137"/>
    </row>
    <row r="87" spans="1:53" x14ac:dyDescent="0.25">
      <c r="A87" s="1"/>
      <c r="C87" s="1"/>
      <c r="D87" s="1"/>
      <c r="E87" s="1"/>
      <c r="F87" s="10"/>
      <c r="I87" s="73"/>
      <c r="J87" s="73"/>
      <c r="K87" s="73"/>
      <c r="L87" s="73"/>
      <c r="M87" s="50"/>
      <c r="N87" s="50"/>
      <c r="O87" s="50"/>
      <c r="P87" s="50"/>
      <c r="Q87" s="50"/>
      <c r="R87" s="126"/>
      <c r="S87" s="50"/>
      <c r="T87" s="50"/>
      <c r="U87" s="50"/>
      <c r="V87" s="11"/>
      <c r="W87" s="11"/>
      <c r="X87" s="1"/>
      <c r="Y87" s="1"/>
      <c r="Z87" s="1"/>
      <c r="AA87" s="1"/>
      <c r="AB87" s="10"/>
      <c r="AC87" s="11"/>
      <c r="AD87" s="11"/>
      <c r="AE87" s="11"/>
      <c r="AF87" s="1"/>
      <c r="AG87" s="10"/>
      <c r="AH87" s="11"/>
    </row>
    <row r="88" spans="1:53" ht="3" customHeight="1" x14ac:dyDescent="0.25">
      <c r="B88" s="36"/>
      <c r="C88" s="36"/>
      <c r="D88" s="36"/>
      <c r="E88" s="36"/>
      <c r="F88" s="41"/>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row>
    <row r="89" spans="1:53" ht="26.25" customHeight="1" x14ac:dyDescent="0.4">
      <c r="B89" s="238"/>
      <c r="C89" s="239"/>
      <c r="D89" s="69"/>
      <c r="E89" s="250" t="s">
        <v>260</v>
      </c>
      <c r="F89" s="69"/>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36"/>
      <c r="AG89" s="36"/>
      <c r="AI89" s="1"/>
      <c r="AJ89" s="1"/>
      <c r="AK89" s="1"/>
      <c r="AL89" s="1"/>
      <c r="AM89" s="1"/>
      <c r="AN89" s="1"/>
      <c r="AO89" s="1"/>
      <c r="AP89" s="1"/>
      <c r="AQ89" s="1"/>
      <c r="AR89" s="1"/>
      <c r="AS89" s="1"/>
      <c r="AT89" s="1"/>
      <c r="AU89" s="1"/>
      <c r="AV89" s="1"/>
      <c r="AW89" s="1"/>
      <c r="AX89" s="1"/>
      <c r="AY89" s="1"/>
      <c r="AZ89" s="1"/>
      <c r="BA89" s="1"/>
    </row>
    <row r="90" spans="1:53" ht="3" customHeight="1" x14ac:dyDescent="0.25">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I90" s="1"/>
      <c r="AJ90" s="1"/>
      <c r="AK90" s="1"/>
      <c r="AL90" s="1"/>
      <c r="AM90" s="1"/>
      <c r="AN90" s="1"/>
      <c r="AO90" s="1"/>
      <c r="AP90" s="1"/>
      <c r="AQ90" s="1"/>
      <c r="AR90" s="1"/>
      <c r="AS90" s="1"/>
      <c r="AT90" s="1"/>
      <c r="AU90" s="1"/>
      <c r="AV90" s="1"/>
      <c r="AW90" s="1"/>
      <c r="AX90" s="1"/>
      <c r="AY90" s="1"/>
      <c r="AZ90" s="1"/>
      <c r="BA90" s="1"/>
    </row>
    <row r="91" spans="1:53" ht="3" customHeight="1" x14ac:dyDescent="0.25">
      <c r="B91" s="36"/>
      <c r="C91" s="246"/>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6"/>
      <c r="AI91" s="1"/>
      <c r="AJ91" s="1"/>
      <c r="AK91" s="1"/>
      <c r="AL91" s="1"/>
      <c r="AM91" s="1"/>
      <c r="AN91" s="1"/>
      <c r="AO91" s="1"/>
      <c r="AP91" s="1"/>
      <c r="AQ91" s="1"/>
      <c r="AR91" s="1"/>
      <c r="AS91" s="1"/>
      <c r="AT91" s="1"/>
      <c r="AU91" s="1"/>
      <c r="AV91" s="1"/>
      <c r="AW91" s="1"/>
      <c r="AX91" s="1"/>
      <c r="AY91" s="1"/>
      <c r="AZ91" s="1"/>
      <c r="BA91" s="1"/>
    </row>
    <row r="92" spans="1:53" ht="15" customHeight="1" x14ac:dyDescent="0.3">
      <c r="B92" s="36"/>
      <c r="C92" s="246"/>
      <c r="D92" s="260" t="s">
        <v>34</v>
      </c>
      <c r="E92" s="247"/>
      <c r="F92" s="255"/>
      <c r="G92" s="256"/>
      <c r="H92" s="256"/>
      <c r="I92" s="256"/>
      <c r="J92" s="256"/>
      <c r="K92" s="358" t="s">
        <v>263</v>
      </c>
      <c r="L92" s="358"/>
      <c r="M92" s="358"/>
      <c r="N92" s="358"/>
      <c r="O92" s="358"/>
      <c r="P92" s="358"/>
      <c r="Q92" s="358"/>
      <c r="R92" s="358"/>
      <c r="S92" s="358"/>
      <c r="T92" s="358"/>
      <c r="U92" s="358"/>
      <c r="V92" s="358"/>
      <c r="W92" s="358"/>
      <c r="X92" s="358"/>
      <c r="Y92" s="256"/>
      <c r="Z92" s="256"/>
      <c r="AA92" s="256"/>
      <c r="AB92" s="256"/>
      <c r="AC92" s="63"/>
      <c r="AD92" s="63"/>
      <c r="AE92" s="63"/>
      <c r="AF92" s="262" t="s">
        <v>40</v>
      </c>
      <c r="AG92" s="36"/>
      <c r="AI92" s="1"/>
      <c r="AJ92" s="1"/>
      <c r="AK92" s="1"/>
      <c r="AL92" s="1"/>
      <c r="AM92" s="1"/>
      <c r="AN92" s="1"/>
      <c r="AO92" s="1"/>
      <c r="AP92" s="1"/>
      <c r="AQ92" s="1"/>
      <c r="AR92" s="1"/>
      <c r="AS92" s="1"/>
      <c r="AT92" s="1"/>
      <c r="AU92" s="1"/>
      <c r="AV92" s="1"/>
      <c r="AW92" s="1"/>
      <c r="AX92" s="1"/>
      <c r="AY92" s="1"/>
      <c r="AZ92" s="10"/>
      <c r="BA92" s="1"/>
    </row>
    <row r="93" spans="1:53" ht="15" customHeight="1" x14ac:dyDescent="0.3">
      <c r="B93" s="36"/>
      <c r="C93" s="246"/>
      <c r="D93" s="248" t="s">
        <v>35</v>
      </c>
      <c r="E93" s="240" t="s">
        <v>220</v>
      </c>
      <c r="F93" s="256"/>
      <c r="G93" s="256"/>
      <c r="H93" s="256"/>
      <c r="I93" s="256"/>
      <c r="J93" s="256"/>
      <c r="K93" s="359" t="s">
        <v>264</v>
      </c>
      <c r="L93" s="359"/>
      <c r="M93" s="359"/>
      <c r="N93" s="359"/>
      <c r="O93" s="359"/>
      <c r="P93" s="359"/>
      <c r="Q93" s="359"/>
      <c r="R93" s="359"/>
      <c r="S93" s="359"/>
      <c r="T93" s="359"/>
      <c r="U93" s="359"/>
      <c r="V93" s="359"/>
      <c r="W93" s="359"/>
      <c r="X93" s="359"/>
      <c r="Y93" s="256"/>
      <c r="Z93" s="256"/>
      <c r="AA93" s="256"/>
      <c r="AB93" s="256"/>
      <c r="AC93" s="63"/>
      <c r="AD93" s="63"/>
      <c r="AE93" s="265"/>
      <c r="AF93" s="263" t="s">
        <v>265</v>
      </c>
      <c r="AG93" s="36"/>
      <c r="AI93" s="1"/>
      <c r="AJ93" s="1"/>
      <c r="AK93" s="1"/>
      <c r="AL93" s="1"/>
      <c r="AM93" s="1"/>
      <c r="AN93" s="1"/>
      <c r="AO93" s="1"/>
      <c r="AP93" s="1"/>
      <c r="AQ93" s="1"/>
      <c r="AR93" s="1"/>
      <c r="AS93" s="1"/>
      <c r="AT93" s="1"/>
      <c r="AU93" s="1"/>
      <c r="AV93" s="1"/>
      <c r="AW93" s="1"/>
      <c r="AX93" s="1"/>
      <c r="AY93" s="1"/>
      <c r="AZ93" s="10"/>
      <c r="BA93" s="1"/>
    </row>
    <row r="94" spans="1:53" ht="14.65" customHeight="1" x14ac:dyDescent="0.3">
      <c r="B94" s="36"/>
      <c r="C94" s="246"/>
      <c r="D94" s="248" t="s">
        <v>35</v>
      </c>
      <c r="E94" s="25" t="s">
        <v>37</v>
      </c>
      <c r="F94" s="251"/>
      <c r="G94" s="252"/>
      <c r="H94" s="253"/>
      <c r="I94" s="253"/>
      <c r="J94" s="253"/>
      <c r="K94" s="359"/>
      <c r="L94" s="359"/>
      <c r="M94" s="359"/>
      <c r="N94" s="359"/>
      <c r="O94" s="359"/>
      <c r="P94" s="359"/>
      <c r="Q94" s="359"/>
      <c r="R94" s="359"/>
      <c r="S94" s="359"/>
      <c r="T94" s="359"/>
      <c r="U94" s="359"/>
      <c r="V94" s="359"/>
      <c r="W94" s="359"/>
      <c r="X94" s="359"/>
      <c r="Y94" s="254"/>
      <c r="Z94" s="254"/>
      <c r="AA94" s="254"/>
      <c r="AB94" s="251"/>
      <c r="AC94" s="63"/>
      <c r="AD94" s="63"/>
      <c r="AE94" s="265"/>
      <c r="AF94" s="263" t="s">
        <v>222</v>
      </c>
      <c r="AG94" s="36"/>
      <c r="AI94" s="1"/>
      <c r="AJ94" s="1"/>
      <c r="AK94" s="1"/>
      <c r="AL94" s="1"/>
      <c r="AM94" s="1"/>
      <c r="AN94" s="1"/>
      <c r="AO94" s="1"/>
      <c r="AP94" s="1"/>
      <c r="AQ94" s="1"/>
      <c r="AR94" s="1"/>
      <c r="AS94" s="1"/>
      <c r="AT94" s="1"/>
      <c r="AU94" s="1"/>
      <c r="AV94" s="1"/>
      <c r="AW94" s="1"/>
      <c r="AX94" s="1"/>
      <c r="AY94" s="1"/>
      <c r="AZ94" s="10"/>
      <c r="BA94" s="1"/>
    </row>
    <row r="95" spans="1:53" ht="14.65" customHeight="1" x14ac:dyDescent="0.3">
      <c r="B95" s="36"/>
      <c r="C95" s="246"/>
      <c r="D95" s="248" t="s">
        <v>35</v>
      </c>
      <c r="E95" s="25" t="s">
        <v>42</v>
      </c>
      <c r="F95" s="251"/>
      <c r="G95" s="252"/>
      <c r="H95" s="253"/>
      <c r="I95" s="253"/>
      <c r="J95" s="253"/>
      <c r="K95" s="359"/>
      <c r="L95" s="359"/>
      <c r="M95" s="359"/>
      <c r="N95" s="359"/>
      <c r="O95" s="359"/>
      <c r="P95" s="359"/>
      <c r="Q95" s="359"/>
      <c r="R95" s="359"/>
      <c r="S95" s="359"/>
      <c r="T95" s="359"/>
      <c r="U95" s="359"/>
      <c r="V95" s="359"/>
      <c r="W95" s="359"/>
      <c r="X95" s="359"/>
      <c r="Y95" s="254"/>
      <c r="Z95" s="254"/>
      <c r="AA95" s="254"/>
      <c r="AB95" s="251"/>
      <c r="AC95" s="63"/>
      <c r="AD95" s="63"/>
      <c r="AE95" s="265"/>
      <c r="AF95" s="263" t="s">
        <v>223</v>
      </c>
      <c r="AG95" s="36"/>
      <c r="AI95" s="11"/>
      <c r="AJ95" s="11"/>
      <c r="AK95" s="11"/>
      <c r="AL95" s="11"/>
      <c r="AM95" s="11"/>
      <c r="AN95" s="11"/>
      <c r="AO95" s="11"/>
      <c r="AP95" s="11"/>
      <c r="AQ95" s="11"/>
      <c r="AR95" s="11"/>
      <c r="AS95" s="11"/>
      <c r="AT95" s="11"/>
      <c r="AU95" s="11"/>
      <c r="AV95" s="11"/>
      <c r="AW95" s="11"/>
      <c r="AX95" s="11"/>
      <c r="AY95" s="11"/>
      <c r="AZ95" s="11"/>
      <c r="BA95" s="1"/>
    </row>
    <row r="96" spans="1:53" ht="14.65" customHeight="1" x14ac:dyDescent="0.3">
      <c r="B96" s="36"/>
      <c r="C96" s="246"/>
      <c r="D96" s="248"/>
      <c r="E96" s="241" t="s">
        <v>59</v>
      </c>
      <c r="F96" s="240"/>
      <c r="G96" s="25"/>
      <c r="H96" s="243"/>
      <c r="I96" s="243"/>
      <c r="J96" s="243"/>
      <c r="K96" s="359"/>
      <c r="L96" s="359"/>
      <c r="M96" s="359"/>
      <c r="N96" s="359"/>
      <c r="O96" s="359"/>
      <c r="P96" s="359"/>
      <c r="Q96" s="359"/>
      <c r="R96" s="359"/>
      <c r="S96" s="359"/>
      <c r="T96" s="359"/>
      <c r="U96" s="359"/>
      <c r="V96" s="359"/>
      <c r="W96" s="359"/>
      <c r="X96" s="359"/>
      <c r="Y96" s="63"/>
      <c r="Z96" s="63"/>
      <c r="AA96" s="63"/>
      <c r="AB96" s="240"/>
      <c r="AC96" s="63"/>
      <c r="AD96" s="25"/>
      <c r="AE96" s="265"/>
      <c r="AF96" s="264" t="s">
        <v>219</v>
      </c>
      <c r="AG96" s="36"/>
      <c r="AI96" s="11"/>
      <c r="AJ96" s="11"/>
      <c r="AK96" s="11"/>
      <c r="AL96" s="11"/>
      <c r="AM96" s="11"/>
      <c r="AN96" s="11"/>
      <c r="AO96" s="11"/>
      <c r="AP96" s="11"/>
      <c r="AQ96" s="11"/>
      <c r="AR96" s="11"/>
      <c r="AS96" s="11"/>
      <c r="AT96" s="11"/>
      <c r="AU96" s="11"/>
      <c r="AV96" s="11"/>
      <c r="AW96" s="11"/>
      <c r="AX96" s="11"/>
      <c r="AY96" s="11"/>
      <c r="AZ96" s="11"/>
    </row>
    <row r="97" spans="1:38" ht="14.65" customHeight="1" x14ac:dyDescent="0.25">
      <c r="B97" s="36"/>
      <c r="C97" s="246"/>
      <c r="D97" s="249"/>
      <c r="E97" s="242" t="s">
        <v>221</v>
      </c>
      <c r="F97" s="25"/>
      <c r="G97" s="25"/>
      <c r="H97" s="25"/>
      <c r="I97" s="25"/>
      <c r="J97" s="243"/>
      <c r="K97" s="359"/>
      <c r="L97" s="359"/>
      <c r="M97" s="359"/>
      <c r="N97" s="359"/>
      <c r="O97" s="359"/>
      <c r="P97" s="359"/>
      <c r="Q97" s="359"/>
      <c r="R97" s="359"/>
      <c r="S97" s="359"/>
      <c r="T97" s="359"/>
      <c r="U97" s="359"/>
      <c r="V97" s="359"/>
      <c r="W97" s="359"/>
      <c r="X97" s="359"/>
      <c r="Y97" s="63"/>
      <c r="Z97" s="63"/>
      <c r="AA97" s="63"/>
      <c r="AB97" s="63"/>
      <c r="AC97" s="63"/>
      <c r="AD97" s="245"/>
      <c r="AE97" s="265"/>
      <c r="AF97" s="264" t="s">
        <v>207</v>
      </c>
      <c r="AG97" s="36"/>
      <c r="AL97" s="1"/>
    </row>
    <row r="98" spans="1:38" ht="14.65" customHeight="1" x14ac:dyDescent="0.3">
      <c r="B98" s="36"/>
      <c r="C98" s="246"/>
      <c r="D98" s="248" t="s">
        <v>35</v>
      </c>
      <c r="E98" s="242" t="s">
        <v>261</v>
      </c>
      <c r="F98" s="25"/>
      <c r="G98" s="25"/>
      <c r="H98" s="25"/>
      <c r="I98" s="25"/>
      <c r="J98" s="243"/>
      <c r="K98" s="359"/>
      <c r="L98" s="359"/>
      <c r="M98" s="359"/>
      <c r="N98" s="359"/>
      <c r="O98" s="359"/>
      <c r="P98" s="359"/>
      <c r="Q98" s="359"/>
      <c r="R98" s="359"/>
      <c r="S98" s="359"/>
      <c r="T98" s="359"/>
      <c r="U98" s="359"/>
      <c r="V98" s="359"/>
      <c r="W98" s="359"/>
      <c r="X98" s="359"/>
      <c r="Y98" s="63"/>
      <c r="Z98" s="63"/>
      <c r="AA98" s="63"/>
      <c r="AB98" s="63"/>
      <c r="AC98" s="63"/>
      <c r="AD98" s="25"/>
      <c r="AE98" s="265"/>
      <c r="AF98" s="264" t="s">
        <v>224</v>
      </c>
      <c r="AG98" s="36"/>
      <c r="AL98" s="1"/>
    </row>
    <row r="99" spans="1:38" ht="14.65" customHeight="1" x14ac:dyDescent="0.25">
      <c r="B99" s="36"/>
      <c r="C99" s="246"/>
      <c r="D99" s="25"/>
      <c r="E99" s="25" t="s">
        <v>262</v>
      </c>
      <c r="F99" s="240"/>
      <c r="G99" s="63"/>
      <c r="H99" s="63"/>
      <c r="I99" s="63"/>
      <c r="J99" s="243"/>
      <c r="K99" s="359"/>
      <c r="L99" s="359"/>
      <c r="M99" s="359"/>
      <c r="N99" s="359"/>
      <c r="O99" s="359"/>
      <c r="P99" s="359"/>
      <c r="Q99" s="359"/>
      <c r="R99" s="359"/>
      <c r="S99" s="359"/>
      <c r="T99" s="359"/>
      <c r="U99" s="359"/>
      <c r="V99" s="359"/>
      <c r="W99" s="359"/>
      <c r="X99" s="359"/>
      <c r="Y99" s="63"/>
      <c r="Z99" s="63"/>
      <c r="AA99" s="63"/>
      <c r="AB99" s="63"/>
      <c r="AC99" s="63"/>
      <c r="AD99" s="25"/>
      <c r="AE99" s="265"/>
      <c r="AF99" s="264" t="s">
        <v>225</v>
      </c>
      <c r="AG99" s="36"/>
      <c r="AL99" s="1"/>
    </row>
    <row r="100" spans="1:38" ht="2.25" customHeight="1" x14ac:dyDescent="0.25">
      <c r="B100" s="36"/>
      <c r="C100" s="246"/>
      <c r="D100" s="25"/>
      <c r="E100" s="25"/>
      <c r="F100" s="240"/>
      <c r="G100" s="63"/>
      <c r="H100" s="63"/>
      <c r="I100" s="63"/>
      <c r="J100" s="243"/>
      <c r="K100" s="261"/>
      <c r="L100" s="261"/>
      <c r="M100" s="261"/>
      <c r="N100" s="261"/>
      <c r="O100" s="261"/>
      <c r="P100" s="261"/>
      <c r="Q100" s="261"/>
      <c r="R100" s="261"/>
      <c r="S100" s="261"/>
      <c r="T100" s="261"/>
      <c r="U100" s="261"/>
      <c r="V100" s="261"/>
      <c r="W100" s="261"/>
      <c r="X100" s="261"/>
      <c r="Y100" s="63"/>
      <c r="Z100" s="63"/>
      <c r="AA100" s="63"/>
      <c r="AB100" s="63"/>
      <c r="AC100" s="63"/>
      <c r="AD100" s="25"/>
      <c r="AE100" s="63"/>
      <c r="AF100" s="244"/>
      <c r="AG100" s="36"/>
      <c r="AL100" s="1"/>
    </row>
    <row r="101" spans="1:38" ht="2.25" customHeight="1" x14ac:dyDescent="0.25">
      <c r="B101" s="36"/>
      <c r="C101" s="36"/>
      <c r="D101" s="36"/>
      <c r="E101" s="36"/>
      <c r="F101" s="36"/>
      <c r="G101" s="36"/>
      <c r="H101" s="36"/>
      <c r="I101" s="259"/>
      <c r="J101" s="259"/>
      <c r="K101" s="259"/>
      <c r="L101" s="259"/>
      <c r="M101" s="259"/>
      <c r="N101" s="259"/>
      <c r="O101" s="259"/>
      <c r="P101" s="259"/>
      <c r="Q101" s="259"/>
      <c r="R101" s="259"/>
      <c r="S101" s="259"/>
      <c r="T101" s="259"/>
      <c r="U101" s="259"/>
      <c r="V101" s="259"/>
      <c r="W101" s="259"/>
      <c r="X101" s="259"/>
      <c r="Y101" s="259"/>
      <c r="Z101" s="36"/>
      <c r="AA101" s="36"/>
      <c r="AB101" s="36"/>
      <c r="AC101" s="36"/>
      <c r="AD101" s="36"/>
      <c r="AE101" s="36"/>
      <c r="AF101" s="36"/>
      <c r="AG101" s="36"/>
      <c r="AL101" s="11"/>
    </row>
    <row r="102" spans="1:38" x14ac:dyDescent="0.25">
      <c r="A102" s="1"/>
      <c r="C102" s="1"/>
      <c r="D102" s="1"/>
      <c r="E102" s="1"/>
      <c r="F102" s="10"/>
      <c r="K102" s="257"/>
      <c r="L102" s="257"/>
      <c r="M102" s="257"/>
      <c r="N102" s="258"/>
      <c r="O102" s="258"/>
      <c r="P102" s="257"/>
      <c r="Q102" s="257"/>
      <c r="R102" s="257"/>
      <c r="S102" s="257"/>
      <c r="T102" s="257"/>
      <c r="U102" s="257"/>
      <c r="V102" s="257"/>
      <c r="W102" s="257"/>
      <c r="X102" s="257"/>
      <c r="AL102" s="11"/>
    </row>
    <row r="103" spans="1:38" x14ac:dyDescent="0.25">
      <c r="A103" s="1"/>
      <c r="C103" s="1"/>
      <c r="D103" s="1"/>
      <c r="E103" s="1"/>
    </row>
    <row r="104" spans="1:38" x14ac:dyDescent="0.25">
      <c r="A104" s="1"/>
      <c r="C104" s="1"/>
      <c r="D104" s="1"/>
      <c r="E104" s="1"/>
    </row>
    <row r="105" spans="1:38" ht="15" customHeight="1" x14ac:dyDescent="0.25">
      <c r="A105" s="1"/>
      <c r="C105" s="1"/>
      <c r="D105" s="1"/>
      <c r="E105" s="1"/>
    </row>
    <row r="106" spans="1:38" ht="15" customHeight="1" x14ac:dyDescent="0.25">
      <c r="A106" s="1"/>
      <c r="C106" s="1"/>
      <c r="D106" s="1"/>
      <c r="E106" s="1"/>
    </row>
    <row r="107" spans="1:38" ht="15" customHeight="1" x14ac:dyDescent="0.25">
      <c r="A107" s="1"/>
      <c r="C107" s="1"/>
      <c r="D107" s="1"/>
      <c r="E107" s="1"/>
    </row>
    <row r="108" spans="1:38" ht="15" customHeight="1" x14ac:dyDescent="0.25">
      <c r="A108" s="1"/>
      <c r="C108" s="1"/>
      <c r="D108" s="1"/>
      <c r="E108" s="1"/>
    </row>
    <row r="109" spans="1:38" ht="15" customHeight="1" x14ac:dyDescent="0.25">
      <c r="A109" s="1"/>
      <c r="C109" s="1"/>
      <c r="D109" s="1"/>
      <c r="E109" s="1"/>
    </row>
    <row r="110" spans="1:38" ht="15" customHeight="1" x14ac:dyDescent="0.25">
      <c r="A110" s="1"/>
      <c r="C110" s="1"/>
      <c r="D110" s="1"/>
      <c r="E110" s="1"/>
    </row>
    <row r="111" spans="1:38" ht="15" customHeight="1" x14ac:dyDescent="0.25">
      <c r="A111" s="1"/>
      <c r="C111" s="1"/>
      <c r="D111" s="1"/>
      <c r="E111" s="1"/>
    </row>
    <row r="112" spans="1:38" ht="15" customHeight="1" x14ac:dyDescent="0.25">
      <c r="A112" s="1"/>
      <c r="C112" s="1"/>
      <c r="D112" s="1"/>
      <c r="E112" s="1"/>
    </row>
    <row r="113" spans="1:54" ht="15" customHeight="1" x14ac:dyDescent="0.25">
      <c r="A113" s="1"/>
      <c r="C113" s="1"/>
      <c r="D113" s="1"/>
      <c r="E113" s="1"/>
      <c r="BB113" s="1"/>
    </row>
    <row r="114" spans="1:54" ht="15.6" customHeight="1" x14ac:dyDescent="0.25">
      <c r="A114" s="1"/>
      <c r="C114" s="1"/>
      <c r="D114" s="1"/>
      <c r="E114" s="1"/>
      <c r="BB114" s="1"/>
    </row>
    <row r="115" spans="1:54" x14ac:dyDescent="0.25">
      <c r="A115" s="1"/>
      <c r="C115" s="1"/>
      <c r="D115" s="1"/>
      <c r="E115" s="1"/>
      <c r="BB115" s="1"/>
    </row>
    <row r="116" spans="1:54" ht="58.15" customHeight="1" x14ac:dyDescent="0.25">
      <c r="A116" s="1"/>
      <c r="C116" s="1"/>
      <c r="D116" s="1"/>
      <c r="E116" s="1"/>
      <c r="BB116" s="1"/>
    </row>
    <row r="117" spans="1:54" ht="15" customHeight="1" x14ac:dyDescent="0.25">
      <c r="A117" s="1"/>
      <c r="C117" s="1"/>
      <c r="D117" s="1"/>
      <c r="E117" s="1"/>
      <c r="F117" s="5"/>
      <c r="BB117" s="1"/>
    </row>
    <row r="118" spans="1:54" ht="15" customHeight="1" x14ac:dyDescent="0.25">
      <c r="A118" s="1"/>
      <c r="C118" s="1"/>
      <c r="D118" s="1"/>
      <c r="E118" s="1"/>
      <c r="BB118" s="1"/>
    </row>
    <row r="119" spans="1:54" ht="15" customHeight="1" x14ac:dyDescent="0.25">
      <c r="A119" s="1"/>
      <c r="C119" s="1"/>
      <c r="D119" s="1"/>
      <c r="E119" s="1"/>
      <c r="BB119" s="1"/>
    </row>
    <row r="120" spans="1:54" ht="15" customHeight="1" x14ac:dyDescent="0.25">
      <c r="A120" s="1"/>
      <c r="C120" s="1"/>
      <c r="D120" s="1"/>
      <c r="E120" s="1"/>
      <c r="BB120" s="1"/>
    </row>
    <row r="121" spans="1:54" x14ac:dyDescent="0.25">
      <c r="A121" s="1"/>
      <c r="C121" s="1"/>
      <c r="D121" s="1"/>
      <c r="E121" s="1"/>
      <c r="BB121" s="1"/>
    </row>
    <row r="122" spans="1:54" ht="15" customHeight="1" x14ac:dyDescent="0.25">
      <c r="A122" s="1"/>
      <c r="C122" s="1"/>
      <c r="D122" s="1"/>
      <c r="E122" s="1"/>
    </row>
    <row r="123" spans="1:54" ht="15" customHeight="1" x14ac:dyDescent="0.25">
      <c r="A123" s="1"/>
      <c r="C123" s="1"/>
      <c r="D123" s="1"/>
      <c r="E123" s="1"/>
    </row>
    <row r="124" spans="1:54" x14ac:dyDescent="0.25">
      <c r="A124" s="1"/>
      <c r="C124" s="1"/>
      <c r="D124" s="1"/>
      <c r="E124" s="1"/>
    </row>
    <row r="125" spans="1:54" x14ac:dyDescent="0.25">
      <c r="A125" s="1"/>
      <c r="C125" s="1"/>
      <c r="D125" s="1"/>
      <c r="E125" s="1"/>
    </row>
    <row r="126" spans="1:54" x14ac:dyDescent="0.25">
      <c r="A126" s="1"/>
      <c r="C126" s="1"/>
      <c r="D126" s="1"/>
      <c r="E126" s="1"/>
    </row>
    <row r="127" spans="1:54" x14ac:dyDescent="0.25">
      <c r="A127" s="1"/>
      <c r="C127" s="1"/>
      <c r="D127" s="1"/>
      <c r="E127" s="1"/>
    </row>
    <row r="128" spans="1:54" x14ac:dyDescent="0.25">
      <c r="A128" s="1"/>
      <c r="C128" s="1"/>
      <c r="D128" s="1"/>
      <c r="E128" s="1"/>
      <c r="F128" s="1"/>
    </row>
    <row r="129" spans="1:6" x14ac:dyDescent="0.25">
      <c r="A129" s="1"/>
      <c r="C129" s="1"/>
      <c r="D129" s="1"/>
      <c r="E129" s="1"/>
      <c r="F129" s="1"/>
    </row>
    <row r="130" spans="1:6" x14ac:dyDescent="0.25">
      <c r="A130" s="1"/>
      <c r="C130" s="1"/>
      <c r="D130" s="1"/>
      <c r="E130" s="1"/>
    </row>
    <row r="131" spans="1:6" x14ac:dyDescent="0.25">
      <c r="A131" s="1"/>
      <c r="C131" s="1"/>
      <c r="D131" s="1"/>
      <c r="E131" s="1"/>
    </row>
    <row r="132" spans="1:6" x14ac:dyDescent="0.25">
      <c r="A132" s="1"/>
      <c r="C132" s="1"/>
      <c r="D132" s="1"/>
      <c r="E132" s="1"/>
    </row>
    <row r="133" spans="1:6" x14ac:dyDescent="0.25">
      <c r="A133" s="1"/>
      <c r="C133" s="1"/>
      <c r="D133" s="1"/>
      <c r="E133" s="1"/>
    </row>
    <row r="134" spans="1:6" x14ac:dyDescent="0.25">
      <c r="A134" s="1"/>
      <c r="C134" s="1"/>
      <c r="D134" s="1"/>
      <c r="E134" s="1"/>
    </row>
    <row r="135" spans="1:6" x14ac:dyDescent="0.25">
      <c r="A135" s="1"/>
      <c r="C135" s="1"/>
      <c r="D135" s="1"/>
      <c r="E135" s="1"/>
    </row>
    <row r="136" spans="1:6" x14ac:dyDescent="0.25">
      <c r="A136" s="1"/>
      <c r="C136" s="1"/>
      <c r="D136" s="1"/>
      <c r="E136" s="1"/>
    </row>
    <row r="137" spans="1:6" x14ac:dyDescent="0.25">
      <c r="A137" s="1"/>
      <c r="C137" s="1"/>
      <c r="D137" s="1"/>
      <c r="E137" s="1"/>
    </row>
    <row r="138" spans="1:6" x14ac:dyDescent="0.25">
      <c r="A138" s="1"/>
      <c r="C138" s="1"/>
      <c r="D138" s="1"/>
      <c r="E138" s="1"/>
    </row>
    <row r="139" spans="1:6" x14ac:dyDescent="0.25">
      <c r="A139" s="1"/>
      <c r="C139" s="1"/>
      <c r="D139" s="1"/>
      <c r="E139" s="1"/>
    </row>
    <row r="140" spans="1:6" x14ac:dyDescent="0.25">
      <c r="A140" s="1"/>
      <c r="C140" s="1"/>
      <c r="D140" s="1"/>
      <c r="E140" s="1"/>
    </row>
    <row r="141" spans="1:6" x14ac:dyDescent="0.25">
      <c r="A141" s="1"/>
      <c r="C141" s="1"/>
      <c r="D141" s="1"/>
      <c r="E141" s="1"/>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sheetData>
  <sheetProtection algorithmName="SHA-512" hashValue="a+sWn4bYhd/T+N4aT2EDrknVv6HNU/Lq6zfj6cUO5hPshlnZlubVTjwuVlyFJ11aJ+QmEyV+7I8h7PAghZ8OPw==" saltValue="o4DD1RCDjMeJkTGYIQvN0g==" spinCount="100000" sheet="1" objects="1" scenarios="1" selectLockedCells="1"/>
  <protectedRanges>
    <protectedRange password="EB22" sqref="J20:J22 K57 AI34:AY36 AI41:AY41 AI46:AY46 M32:M33 L32:L56 I29 M48:M50 M57 K28:M31 AE19:AG19 H19:J19 H17:J17 V20:V22 AE17:AG17 T19:V19 T17:V17 AG20:AG22 K59:K66 M59:M66" name="Bereik1"/>
    <protectedRange password="EB22" sqref="C18:D19 F128:F129 P18 O18:O19 AA18 BB31 Z18:Z19" name="Bereik1_1"/>
    <protectedRange password="EB22" sqref="H44:H45 F51:H53 H57 W67 W72:W73 G76:H85 I76:I77 F56:F57 F62:F64 I85 F85 G68:I74 S68:U74 T44:T45 T57:T59 P59:S59 S76:T85 U76:U77 U85 R85 P53:R53 O76:O85 AD68:AF74 AE57:AE59 AA59:AD59 AD76:AE85 AF76:AF77 AF85 AC85 AA53:AC53 Z76:Z85 R44:S47 S51:T53 R36:U40 AA46 AD51:AE53 F59:H59 P56:P57 AA76:AA81 F36:I40 F44:G47 AC44:AE45 D51:D52 C76:D82 R51:R52 P51:P52 R56 R62:R64 P62:P64 P68:P73 P76:P81 C84:D85 C83 AC36:AF39 AA36:AA39 AC46:AD47 AB47 AC51:AC52 AA51:AA52 AC56:AC57 AA56:AA57 AC62:AD62 AA68:AA71 AB72:AB73 AA62:AA63" name="Bereik1_2"/>
    <protectedRange password="EB22" sqref="F24:I24 F22 Q24:R24 R23 R25 R27 R29 AB24:AC24 AC23 AC25 AC27 AC29 H22:I22 AD22:AF22 Q22:U22 AB22" name="Bereik1_3"/>
    <protectedRange password="EB22" sqref="K58 M58" name="Bereik1_4"/>
    <protectedRange password="EB22" sqref="H58 F58 P58 R57:R58" name="Bereik1_2_1"/>
    <protectedRange password="EB22" sqref="E53 E59 D36:D40 D44:D47 D56:D57 D62:D64 D68:D73 P36:P40 P44:P47 AA44:AA45" name="Bereik1_2_2"/>
    <protectedRange password="EB22" sqref="D58" name="Bereik1_2_1_1"/>
  </protectedRanges>
  <customSheetViews>
    <customSheetView guid="{1341C1BA-A516-4B24-9F86-4C451F91EE0F}">
      <pane ySplit="12" topLeftCell="A79" activePane="bottomLeft" state="frozenSplit"/>
      <selection pane="bottomLeft" activeCell="F87" sqref="F87:AB88"/>
      <pageMargins left="0.7" right="0.7" top="0.75" bottom="0.75" header="0.3" footer="0.3"/>
      <pageSetup paperSize="9" orientation="portrait" r:id="rId1"/>
    </customSheetView>
  </customSheetViews>
  <mergeCells count="172">
    <mergeCell ref="D82:E82"/>
    <mergeCell ref="P82:Q82"/>
    <mergeCell ref="AA64:AB64"/>
    <mergeCell ref="AA41:AB41"/>
    <mergeCell ref="AA47:AB47"/>
    <mergeCell ref="AA48:AB48"/>
    <mergeCell ref="AA53:AB53"/>
    <mergeCell ref="AA58:AB58"/>
    <mergeCell ref="AA59:AB59"/>
    <mergeCell ref="AA65:AB65"/>
    <mergeCell ref="AA72:AB72"/>
    <mergeCell ref="AA73:AB73"/>
    <mergeCell ref="AA82:AB82"/>
    <mergeCell ref="AA81:AB81"/>
    <mergeCell ref="D76:H76"/>
    <mergeCell ref="D77:H77"/>
    <mergeCell ref="P76:T76"/>
    <mergeCell ref="P77:T77"/>
    <mergeCell ref="AA76:AE76"/>
    <mergeCell ref="AA77:AE77"/>
    <mergeCell ref="AA78:AB78"/>
    <mergeCell ref="AA79:AB79"/>
    <mergeCell ref="AA80:AB80"/>
    <mergeCell ref="P80:Q80"/>
    <mergeCell ref="D80:E80"/>
    <mergeCell ref="D81:E81"/>
    <mergeCell ref="AA71:AD71"/>
    <mergeCell ref="AA63:AB63"/>
    <mergeCell ref="AA62:AB62"/>
    <mergeCell ref="AA66:AB66"/>
    <mergeCell ref="AA34:AB34"/>
    <mergeCell ref="AA35:AB35"/>
    <mergeCell ref="AA36:AB36"/>
    <mergeCell ref="AA37:AB37"/>
    <mergeCell ref="AA38:AB38"/>
    <mergeCell ref="AA39:AB39"/>
    <mergeCell ref="AA42:AB42"/>
    <mergeCell ref="AA43:AB43"/>
    <mergeCell ref="AA44:AB44"/>
    <mergeCell ref="AA67:AB67"/>
    <mergeCell ref="AA68:AB68"/>
    <mergeCell ref="AA69:AB69"/>
    <mergeCell ref="AA70:AB70"/>
    <mergeCell ref="AA55:AB55"/>
    <mergeCell ref="AA56:AB56"/>
    <mergeCell ref="AA57:AB57"/>
    <mergeCell ref="AA60:AB60"/>
    <mergeCell ref="P78:Q78"/>
    <mergeCell ref="P79:Q79"/>
    <mergeCell ref="P67:Q67"/>
    <mergeCell ref="P68:Q68"/>
    <mergeCell ref="P69:Q69"/>
    <mergeCell ref="P70:Q70"/>
    <mergeCell ref="P71:Q71"/>
    <mergeCell ref="AA74:AB74"/>
    <mergeCell ref="P81:Q81"/>
    <mergeCell ref="P61:Q61"/>
    <mergeCell ref="P62:Q62"/>
    <mergeCell ref="P63:Q63"/>
    <mergeCell ref="P66:Q66"/>
    <mergeCell ref="P74:Q74"/>
    <mergeCell ref="P65:Q65"/>
    <mergeCell ref="P73:Q73"/>
    <mergeCell ref="AA61:AB61"/>
    <mergeCell ref="P72:Q72"/>
    <mergeCell ref="D57:E57"/>
    <mergeCell ref="D58:E58"/>
    <mergeCell ref="D60:E60"/>
    <mergeCell ref="D51:E51"/>
    <mergeCell ref="D52:E52"/>
    <mergeCell ref="D72:E72"/>
    <mergeCell ref="D48:E48"/>
    <mergeCell ref="D53:E53"/>
    <mergeCell ref="D59:E59"/>
    <mergeCell ref="D41:E41"/>
    <mergeCell ref="P41:Q41"/>
    <mergeCell ref="P48:Q48"/>
    <mergeCell ref="P53:Q53"/>
    <mergeCell ref="P44:Q44"/>
    <mergeCell ref="P45:Q45"/>
    <mergeCell ref="P46:Q46"/>
    <mergeCell ref="P47:Q47"/>
    <mergeCell ref="P49:Q49"/>
    <mergeCell ref="P42:Q42"/>
    <mergeCell ref="P43:Q43"/>
    <mergeCell ref="D78:E78"/>
    <mergeCell ref="D79:E79"/>
    <mergeCell ref="D67:E67"/>
    <mergeCell ref="D68:E68"/>
    <mergeCell ref="D69:E69"/>
    <mergeCell ref="D70:E70"/>
    <mergeCell ref="D71:E71"/>
    <mergeCell ref="D61:E61"/>
    <mergeCell ref="D62:E62"/>
    <mergeCell ref="D63:E63"/>
    <mergeCell ref="D66:E66"/>
    <mergeCell ref="D74:E74"/>
    <mergeCell ref="D65:E65"/>
    <mergeCell ref="D73:E73"/>
    <mergeCell ref="F24:I24"/>
    <mergeCell ref="D34:E34"/>
    <mergeCell ref="D35:E35"/>
    <mergeCell ref="D36:E36"/>
    <mergeCell ref="D37:E37"/>
    <mergeCell ref="D38:E38"/>
    <mergeCell ref="K92:X92"/>
    <mergeCell ref="K93:X99"/>
    <mergeCell ref="G22:I23"/>
    <mergeCell ref="S22:U23"/>
    <mergeCell ref="D23:E23"/>
    <mergeCell ref="D54:E54"/>
    <mergeCell ref="D55:E55"/>
    <mergeCell ref="D56:E56"/>
    <mergeCell ref="D45:E45"/>
    <mergeCell ref="D46:E46"/>
    <mergeCell ref="D47:E47"/>
    <mergeCell ref="D49:E49"/>
    <mergeCell ref="D50:E50"/>
    <mergeCell ref="D39:E39"/>
    <mergeCell ref="D40:E40"/>
    <mergeCell ref="D42:E42"/>
    <mergeCell ref="D43:E43"/>
    <mergeCell ref="D44:E44"/>
    <mergeCell ref="C31:I31"/>
    <mergeCell ref="P29:Q29"/>
    <mergeCell ref="AA29:AB29"/>
    <mergeCell ref="D27:E27"/>
    <mergeCell ref="D29:E29"/>
    <mergeCell ref="G29:I29"/>
    <mergeCell ref="AA25:AB25"/>
    <mergeCell ref="AA27:AB27"/>
    <mergeCell ref="D25:E25"/>
    <mergeCell ref="G25:I25"/>
    <mergeCell ref="G27:I27"/>
    <mergeCell ref="AD54:AF54"/>
    <mergeCell ref="AD60:AF60"/>
    <mergeCell ref="P50:Q50"/>
    <mergeCell ref="P51:Q51"/>
    <mergeCell ref="P52:Q52"/>
    <mergeCell ref="P54:Q54"/>
    <mergeCell ref="P55:Q55"/>
    <mergeCell ref="P56:Q56"/>
    <mergeCell ref="AA50:AB50"/>
    <mergeCell ref="AA51:AB51"/>
    <mergeCell ref="AA52:AB52"/>
    <mergeCell ref="AA54:AB54"/>
    <mergeCell ref="P57:Q57"/>
    <mergeCell ref="P58:Q58"/>
    <mergeCell ref="P60:Q60"/>
    <mergeCell ref="P59:Q59"/>
    <mergeCell ref="AA45:AB45"/>
    <mergeCell ref="AA46:AB46"/>
    <mergeCell ref="AA49:AB49"/>
    <mergeCell ref="AH8:AH10"/>
    <mergeCell ref="AA23:AB23"/>
    <mergeCell ref="O31:U31"/>
    <mergeCell ref="X5:X9"/>
    <mergeCell ref="AB11:AC12"/>
    <mergeCell ref="Z31:AF31"/>
    <mergeCell ref="P25:Q25"/>
    <mergeCell ref="P27:Q27"/>
    <mergeCell ref="P23:Q23"/>
    <mergeCell ref="S27:U27"/>
    <mergeCell ref="S29:U29"/>
    <mergeCell ref="AD22:AF23"/>
    <mergeCell ref="P34:Q34"/>
    <mergeCell ref="P35:Q35"/>
    <mergeCell ref="P36:Q36"/>
    <mergeCell ref="P37:Q37"/>
    <mergeCell ref="P38:Q38"/>
    <mergeCell ref="P39:Q39"/>
    <mergeCell ref="P40:Q40"/>
  </mergeCells>
  <conditionalFormatting sqref="G47">
    <cfRule type="expression" dxfId="75" priority="78">
      <formula>$G$47&lt;&gt;"Vervalt"</formula>
    </cfRule>
  </conditionalFormatting>
  <conditionalFormatting sqref="G46">
    <cfRule type="expression" dxfId="74" priority="77">
      <formula>$G$46&lt;&gt;"Vervalt"</formula>
    </cfRule>
  </conditionalFormatting>
  <conditionalFormatting sqref="S47">
    <cfRule type="expression" dxfId="73" priority="76">
      <formula>$S$47&lt;&gt;"Vervalt"</formula>
    </cfRule>
  </conditionalFormatting>
  <conditionalFormatting sqref="S46">
    <cfRule type="expression" dxfId="72" priority="75">
      <formula>$S$46&lt;&gt;"Vervalt"</formula>
    </cfRule>
  </conditionalFormatting>
  <conditionalFormatting sqref="O31:U31">
    <cfRule type="expression" dxfId="71" priority="72">
      <formula>$O$31&lt;&gt;""</formula>
    </cfRule>
  </conditionalFormatting>
  <conditionalFormatting sqref="C31:I31">
    <cfRule type="expression" dxfId="70" priority="71">
      <formula>$C$31&lt;&gt;""</formula>
    </cfRule>
  </conditionalFormatting>
  <conditionalFormatting sqref="Z31:AF31">
    <cfRule type="expression" dxfId="69" priority="70">
      <formula>$Z$31&lt;&gt;""</formula>
    </cfRule>
  </conditionalFormatting>
  <dataValidations count="12">
    <dataValidation type="list" allowBlank="1" showInputMessage="1" showErrorMessage="1" errorTitle="Dikte wordt niet ondersteund" error="Kies één van onderstaande diktes:_x000a_  6,5 mm_x000a_  7  mm_x000a_  9  mm_x000a_10  mm" sqref="AB87 R32 F32 F87:F88 F48 F75 AG87 F90:F91 AZ92:AZ94 F102 R75 R48 AC32 AC75 AC48">
      <mc:AlternateContent xmlns:x12ac="http://schemas.microsoft.com/office/spreadsheetml/2011/1/ac" xmlns:mc="http://schemas.openxmlformats.org/markup-compatibility/2006">
        <mc:Choice Requires="x12ac">
          <x12ac:list>"6,5",7,9,10</x12ac:list>
        </mc:Choice>
        <mc:Fallback>
          <formula1>"6,5,7,9,10"</formula1>
        </mc:Fallback>
      </mc:AlternateContent>
    </dataValidation>
    <dataValidation type="list" allowBlank="1" showInputMessage="1" showErrorMessage="1" errorTitle="Dikte wordt niet ondersteund" error="Kies één van onderstaande diktes:_x000a_Geen schuim_x000a_  5 mm_x000a_10 mm_x000a_15 mm_x000a_20 mm_x000a_40 mm " sqref="S10">
      <formula1>"geen schuim,5,10,15,20,40"</formula1>
    </dataValidation>
    <dataValidation type="whole" allowBlank="1" showInputMessage="1" showErrorMessage="1" errorTitle="Lengte is te groot of te klein" error="De minimale lengte is 165mm (16,5 cm)._x000a_De maximale lengte is 2000mm (2 meter)._x000a_Decimalen zijn niet toegestaan._x000a__x000a_" sqref="S6">
      <formula1>165</formula1>
      <formula2>2000</formula2>
    </dataValidation>
    <dataValidation type="whole" allowBlank="1" showInputMessage="1" showErrorMessage="1" errorTitle="Breedte is te groot of te klein" error="De minimale breedte is 60mm._x000a_De maximale breedte is 1150mm._x000a_Decimalen zijn niet toegestaan." sqref="S7">
      <formula1>60</formula1>
      <formula2>1150</formula2>
    </dataValidation>
    <dataValidation type="whole" allowBlank="1" showInputMessage="1" showErrorMessage="1" errorTitle="Hoogte is te groot of te klein" error="De minimale hoogte is 100mm (10cm)._x000a_De maximale hoogte is 2000mm (2 meter)._x000a_Decimalen zijn niet toegestaan." sqref="S8">
      <formula1>100</formula1>
      <formula2>2000</formula2>
    </dataValidation>
    <dataValidation type="list" allowBlank="1" showInputMessage="1" showErrorMessage="1" sqref="P25:Q25 D23:E23">
      <formula1>SoortDeksel</formula1>
    </dataValidation>
    <dataValidation type="list" allowBlank="1" showInputMessage="1" showErrorMessage="1" sqref="D27:E27">
      <formula1>KeuzeHoekStandaard</formula1>
    </dataValidation>
    <dataValidation type="list" allowBlank="1" showInputMessage="1" showErrorMessage="1" sqref="D29:E29">
      <formula1>KeuzeSluitingStandaard</formula1>
    </dataValidation>
    <dataValidation type="list" allowBlank="1" showInputMessage="1" showErrorMessage="1" sqref="P29:Q29">
      <formula1>KeuzeSluitingHeavyDuty</formula1>
    </dataValidation>
    <dataValidation type="list" allowBlank="1" showInputMessage="1" showErrorMessage="1" sqref="P27:Q27">
      <formula1>KeuzeHoekHeavyDuty</formula1>
    </dataValidation>
    <dataValidation type="list" allowBlank="1" showInputMessage="1" showErrorMessage="1" sqref="D25:E25">
      <formula1>KeuzePlaatmateriaal</formula1>
    </dataValidation>
    <dataValidation type="whole" allowBlank="1" showInputMessage="1" showErrorMessage="1" errorTitle="Te hoog of te laag" error="De dekselhoogte moet groter zijn dan 50mm en moet kleiner zijn dan zijn dan de totale hoogte-50mm._x000a_Decimalen zijn niet toegestaan._x000a_" sqref="S9">
      <formula1>MinimaleDekselhoogte</formula1>
      <formula2>MaximaleDekselhoogte</formula2>
    </dataValidation>
  </dataValidations>
  <pageMargins left="0.7" right="0.7" top="0.75" bottom="0.75" header="0.3" footer="0.3"/>
  <pageSetup paperSize="9" orientation="portrait" r:id="rId2"/>
  <ignoredErrors>
    <ignoredError sqref="I71 U71 I39" formula="1"/>
    <ignoredError sqref="D76:D81 P76:P81 AA76:AA81 G22 S22 AD22 G25 G27 S27 G29 S29 D34 P34 AA34 D42 P42 AA42 D49 P49 AA49 D56:D58 P56:P58 AA56:AA57 D62:D63 P62:P63 AA62:AA63 D66 P66 AA66 H80 T80 AE80" unlockedFormula="1"/>
  </ignoredErrors>
  <drawing r:id="rId3"/>
  <legacyDrawing r:id="rId4"/>
  <picture r:id="rId5"/>
  <extLst>
    <ext xmlns:x14="http://schemas.microsoft.com/office/spreadsheetml/2009/9/main" uri="{78C0D931-6437-407d-A8EE-F0AAD7539E65}">
      <x14:conditionalFormattings>
        <x14:conditionalFormatting xmlns:xm="http://schemas.microsoft.com/office/excel/2006/main">
          <x14:cfRule type="expression" priority="106" id="{75C398A6-D844-4913-B0C9-1013C50F0AE4}">
            <xm:f>Formules!$BE$104</xm:f>
            <x14:dxf>
              <font>
                <b/>
                <i val="0"/>
                <color rgb="FFFF0000"/>
              </font>
            </x14:dxf>
          </x14:cfRule>
          <xm:sqref>D27:E27 F57</xm:sqref>
        </x14:conditionalFormatting>
        <x14:conditionalFormatting xmlns:xm="http://schemas.microsoft.com/office/excel/2006/main">
          <x14:cfRule type="expression" priority="107" id="{9B754192-FB0E-46E2-BB04-0F04E4909261}">
            <xm:f>Formules!$BE$107</xm:f>
            <x14:dxf>
              <font>
                <color rgb="FFFF0000"/>
              </font>
            </x14:dxf>
          </x14:cfRule>
          <xm:sqref>S9</xm:sqref>
        </x14:conditionalFormatting>
        <x14:conditionalFormatting xmlns:xm="http://schemas.microsoft.com/office/excel/2006/main">
          <x14:cfRule type="expression" priority="108" id="{46D4D1DA-3B2F-4EB9-87FC-C6ADCBE67A92}">
            <xm:f>Formules!$BE$108</xm:f>
            <x14:dxf>
              <font>
                <b/>
                <i val="0"/>
                <color rgb="FFFF0000"/>
              </font>
            </x14:dxf>
          </x14:cfRule>
          <xm:sqref>D29:E29 F62:F64</xm:sqref>
        </x14:conditionalFormatting>
        <x14:conditionalFormatting xmlns:xm="http://schemas.microsoft.com/office/excel/2006/main">
          <x14:cfRule type="expression" priority="109" id="{363D7E08-CD41-4FA1-8645-328BEDFE415D}">
            <xm:f>Formules!$BR$104</xm:f>
            <x14:dxf>
              <font>
                <b/>
                <i val="0"/>
                <color rgb="FFFF0000"/>
              </font>
            </x14:dxf>
          </x14:cfRule>
          <xm:sqref>P27:Q27 P57</xm:sqref>
        </x14:conditionalFormatting>
        <x14:conditionalFormatting xmlns:xm="http://schemas.microsoft.com/office/excel/2006/main">
          <x14:cfRule type="expression" priority="110" id="{26460226-85E9-4640-82C2-9835D75B1D67}">
            <xm:f>Formules!$BR$108</xm:f>
            <x14:dxf>
              <font>
                <b/>
                <i val="0"/>
                <color rgb="FFFF0000"/>
              </font>
            </x14:dxf>
          </x14:cfRule>
          <xm:sqref>P29:Q29 R62:R64 P62:P64</xm:sqref>
        </x14:conditionalFormatting>
        <x14:conditionalFormatting xmlns:xm="http://schemas.microsoft.com/office/excel/2006/main">
          <x14:cfRule type="expression" priority="111" id="{DCE6EC9A-84F4-4A7F-82B1-511425C02838}">
            <xm:f>Formules!$BE$109</xm:f>
            <x14:dxf>
              <font>
                <color rgb="FFFF0000"/>
              </font>
            </x14:dxf>
          </x14:cfRule>
          <xm:sqref>S10</xm:sqref>
        </x14:conditionalFormatting>
        <x14:conditionalFormatting xmlns:xm="http://schemas.microsoft.com/office/excel/2006/main">
          <x14:cfRule type="expression" priority="68" id="{50C27546-7DB1-4535-85BC-DFE565C6D85B}">
            <xm:f>'\Users\EvR\Dropbox\Gedeelde bestanden M-case\Configurator\[MCase Configurator C0.47.xlsm]Formules'!#REF!</xm:f>
            <x14:dxf>
              <font>
                <b/>
                <i val="0"/>
                <color rgb="FFFF0000"/>
              </font>
            </x14:dxf>
          </x14:cfRule>
          <xm:sqref>D57</xm:sqref>
        </x14:conditionalFormatting>
        <x14:conditionalFormatting xmlns:xm="http://schemas.microsoft.com/office/excel/2006/main">
          <x14:cfRule type="expression" priority="69" id="{6B002526-58E6-4E9F-9ACB-A5F502AAB0A3}">
            <xm:f>'\Users\EvR\Dropbox\Gedeelde bestanden M-case\Configurator\[MCase Configurator C0.47.xlsm]Formules'!#REF!</xm:f>
            <x14:dxf>
              <font>
                <b/>
                <i val="0"/>
                <color rgb="FFFF0000"/>
              </font>
            </x14:dxf>
          </x14:cfRule>
          <xm:sqref>D62:D64</xm:sqref>
        </x14:conditionalFormatting>
        <x14:conditionalFormatting xmlns:xm="http://schemas.microsoft.com/office/excel/2006/main">
          <x14:cfRule type="expression" priority="66" id="{EF7196FD-CACD-4E9C-B6C1-93FBDE110923}">
            <xm:f>Formules!$BE$109</xm:f>
            <x14:dxf>
              <font>
                <b/>
                <i val="0"/>
                <color rgb="FFFF0000"/>
              </font>
            </x14:dxf>
          </x14:cfRule>
          <xm:sqref>G69</xm:sqref>
        </x14:conditionalFormatting>
        <x14:conditionalFormatting xmlns:xm="http://schemas.microsoft.com/office/excel/2006/main">
          <x14:cfRule type="expression" priority="65" id="{0D0099E5-147E-4F00-90BE-3288B39AECD6}">
            <xm:f>Formules!$BE$109</xm:f>
            <x14:dxf>
              <font>
                <b/>
                <i val="0"/>
                <color rgb="FFFF0000"/>
              </font>
            </x14:dxf>
          </x14:cfRule>
          <xm:sqref>I69</xm:sqref>
        </x14:conditionalFormatting>
        <x14:conditionalFormatting xmlns:xm="http://schemas.microsoft.com/office/excel/2006/main">
          <x14:cfRule type="expression" priority="64" id="{9ED21B03-8881-49A2-BD88-E47E3D6543F4}">
            <xm:f>Formules!$BE$109</xm:f>
            <x14:dxf>
              <font>
                <b/>
                <i val="0"/>
                <color rgb="FFFF0000"/>
              </font>
            </x14:dxf>
          </x14:cfRule>
          <xm:sqref>G70</xm:sqref>
        </x14:conditionalFormatting>
        <x14:conditionalFormatting xmlns:xm="http://schemas.microsoft.com/office/excel/2006/main">
          <x14:cfRule type="expression" priority="63" id="{800212D1-4AD0-43AF-BC16-654AA51F55F0}">
            <xm:f>Formules!$BE$109</xm:f>
            <x14:dxf>
              <font>
                <b/>
                <i val="0"/>
                <color rgb="FFFF0000"/>
              </font>
            </x14:dxf>
          </x14:cfRule>
          <xm:sqref>I70</xm:sqref>
        </x14:conditionalFormatting>
        <x14:conditionalFormatting xmlns:xm="http://schemas.microsoft.com/office/excel/2006/main">
          <x14:cfRule type="expression" priority="62" id="{DFE2882E-D5F0-4DE7-AE11-8DAF7DCC9E13}">
            <xm:f>Formules!$BE$109</xm:f>
            <x14:dxf>
              <font>
                <b/>
                <i val="0"/>
                <color rgb="FFFF0000"/>
              </font>
            </x14:dxf>
          </x14:cfRule>
          <xm:sqref>F70</xm:sqref>
        </x14:conditionalFormatting>
        <x14:conditionalFormatting xmlns:xm="http://schemas.microsoft.com/office/excel/2006/main">
          <x14:cfRule type="expression" priority="58" id="{16492A66-07C4-44EB-AB54-E86A946F5EBB}">
            <xm:f>Formules!$BE$109</xm:f>
            <x14:dxf>
              <font>
                <b/>
                <i val="0"/>
                <color rgb="FFFF0000"/>
              </font>
            </x14:dxf>
          </x14:cfRule>
          <xm:sqref>H70</xm:sqref>
        </x14:conditionalFormatting>
        <x14:conditionalFormatting xmlns:xm="http://schemas.microsoft.com/office/excel/2006/main">
          <x14:cfRule type="expression" priority="57" id="{A4068A3B-BE86-4087-8187-619AEA22BA6E}">
            <xm:f>Formules!$BE$109</xm:f>
            <x14:dxf>
              <font>
                <b/>
                <i val="0"/>
                <color rgb="FFFF0000"/>
              </font>
            </x14:dxf>
          </x14:cfRule>
          <xm:sqref>H69</xm:sqref>
        </x14:conditionalFormatting>
        <x14:conditionalFormatting xmlns:xm="http://schemas.microsoft.com/office/excel/2006/main">
          <x14:cfRule type="expression" priority="56" id="{0191CD2F-A5BA-4FBF-8F5B-2F0966C1E5A8}">
            <xm:f>Formules!$BE$109</xm:f>
            <x14:dxf>
              <font>
                <b/>
                <i val="0"/>
                <color rgb="FFFF0000"/>
              </font>
            </x14:dxf>
          </x14:cfRule>
          <xm:sqref>F69</xm:sqref>
        </x14:conditionalFormatting>
        <x14:conditionalFormatting xmlns:xm="http://schemas.microsoft.com/office/excel/2006/main">
          <x14:cfRule type="expression" priority="55" id="{8D6B2D38-554D-4FD2-9786-BE34707A2F54}">
            <xm:f>Formules!$BR$109</xm:f>
            <x14:dxf>
              <font>
                <b/>
                <i val="0"/>
                <color rgb="FFFF0000"/>
              </font>
            </x14:dxf>
          </x14:cfRule>
          <xm:sqref>R69</xm:sqref>
        </x14:conditionalFormatting>
        <x14:conditionalFormatting xmlns:xm="http://schemas.microsoft.com/office/excel/2006/main">
          <x14:cfRule type="expression" priority="54" id="{D16DA2B5-13DE-46B1-9EFB-A22BC4890EEA}">
            <xm:f>Formules!$BR$109</xm:f>
            <x14:dxf>
              <font>
                <b/>
                <i val="0"/>
                <color rgb="FFFF0000"/>
              </font>
            </x14:dxf>
          </x14:cfRule>
          <xm:sqref>R70</xm:sqref>
        </x14:conditionalFormatting>
        <x14:conditionalFormatting xmlns:xm="http://schemas.microsoft.com/office/excel/2006/main">
          <x14:cfRule type="expression" priority="53" id="{64AA5CD9-F545-4964-9D4F-39659EACDE46}">
            <xm:f>Formules!$BR$109</xm:f>
            <x14:dxf>
              <font>
                <b/>
                <i val="0"/>
                <color rgb="FFFF0000"/>
              </font>
            </x14:dxf>
          </x14:cfRule>
          <xm:sqref>T69</xm:sqref>
        </x14:conditionalFormatting>
        <x14:conditionalFormatting xmlns:xm="http://schemas.microsoft.com/office/excel/2006/main">
          <x14:cfRule type="expression" priority="52" id="{FDA02520-2729-42B8-88AC-A0D007A8022A}">
            <xm:f>Formules!$BR$109</xm:f>
            <x14:dxf>
              <font>
                <b/>
                <i val="0"/>
                <color rgb="FFFF0000"/>
              </font>
            </x14:dxf>
          </x14:cfRule>
          <xm:sqref>T70</xm:sqref>
        </x14:conditionalFormatting>
        <x14:conditionalFormatting xmlns:xm="http://schemas.microsoft.com/office/excel/2006/main">
          <x14:cfRule type="expression" priority="51" id="{36CD7274-47BC-4FE9-B1D4-9402F6B6029C}">
            <xm:f>Formules!$BR$109</xm:f>
            <x14:dxf>
              <font>
                <b/>
                <i val="0"/>
                <color rgb="FFFF0000"/>
              </font>
            </x14:dxf>
          </x14:cfRule>
          <xm:sqref>S69</xm:sqref>
        </x14:conditionalFormatting>
        <x14:conditionalFormatting xmlns:xm="http://schemas.microsoft.com/office/excel/2006/main">
          <x14:cfRule type="expression" priority="50" id="{D120947E-3F85-4990-89E0-C39136F947D9}">
            <xm:f>Formules!$BR$109</xm:f>
            <x14:dxf>
              <font>
                <b/>
                <i val="0"/>
                <color rgb="FFFF0000"/>
              </font>
            </x14:dxf>
          </x14:cfRule>
          <xm:sqref>S70</xm:sqref>
        </x14:conditionalFormatting>
        <x14:conditionalFormatting xmlns:xm="http://schemas.microsoft.com/office/excel/2006/main">
          <x14:cfRule type="expression" priority="49" id="{6E9BD454-8A25-422D-8DB8-E3978199142E}">
            <xm:f>Formules!$BR$109</xm:f>
            <x14:dxf>
              <font>
                <b/>
                <i val="0"/>
                <color rgb="FFFF0000"/>
              </font>
            </x14:dxf>
          </x14:cfRule>
          <xm:sqref>U69</xm:sqref>
        </x14:conditionalFormatting>
        <x14:conditionalFormatting xmlns:xm="http://schemas.microsoft.com/office/excel/2006/main">
          <x14:cfRule type="expression" priority="48" id="{18B7D584-193C-45B0-9801-869F675C07F2}">
            <xm:f>Formules!$BR$109</xm:f>
            <x14:dxf>
              <font>
                <b/>
                <i val="0"/>
                <color rgb="FFFF0000"/>
              </font>
            </x14:dxf>
          </x14:cfRule>
          <xm:sqref>U70</xm:sqref>
        </x14:conditionalFormatting>
        <x14:conditionalFormatting xmlns:xm="http://schemas.microsoft.com/office/excel/2006/main">
          <x14:cfRule type="expression" priority="31" id="{58A100BD-DC50-4478-A053-E4BDB1BA244D}">
            <xm:f>Formules!$BE$112</xm:f>
            <x14:dxf>
              <font>
                <b/>
                <i val="0"/>
                <color rgb="FFFF8000"/>
              </font>
            </x14:dxf>
          </x14:cfRule>
          <x14:cfRule type="expression" priority="47" id="{5044B3BB-1D5E-41EA-A92B-99DBC0F1FB10}">
            <xm:f>Formules!$BE$111</xm:f>
            <x14:dxf>
              <font>
                <b/>
                <i val="0"/>
                <color rgb="FFFF0000"/>
              </font>
            </x14:dxf>
          </x14:cfRule>
          <xm:sqref>F71</xm:sqref>
        </x14:conditionalFormatting>
        <x14:conditionalFormatting xmlns:xm="http://schemas.microsoft.com/office/excel/2006/main">
          <x14:cfRule type="expression" priority="29" id="{46E2E909-4633-4FEF-A1B0-094E9348AB1E}">
            <xm:f>Formules!$BE$112</xm:f>
            <x14:dxf>
              <font>
                <b/>
                <i val="0"/>
                <color rgb="FFFF8000"/>
              </font>
            </x14:dxf>
          </x14:cfRule>
          <x14:cfRule type="expression" priority="30" id="{52935DAF-ABC3-4C03-8739-1EF1450F7956}">
            <xm:f>Formules!$BE$111</xm:f>
            <x14:dxf>
              <font>
                <b/>
                <i val="0"/>
                <color rgb="FFFF0000"/>
              </font>
            </x14:dxf>
          </x14:cfRule>
          <xm:sqref>F72</xm:sqref>
        </x14:conditionalFormatting>
        <x14:conditionalFormatting xmlns:xm="http://schemas.microsoft.com/office/excel/2006/main">
          <x14:cfRule type="expression" priority="27" id="{DE2557D6-9308-414B-9051-D185B5E46872}">
            <xm:f>Formules!$BE$112</xm:f>
            <x14:dxf>
              <font>
                <b/>
                <i val="0"/>
                <color rgb="FFFF8000"/>
              </font>
            </x14:dxf>
          </x14:cfRule>
          <x14:cfRule type="expression" priority="28" id="{6CA0E57A-D2D0-47CF-A989-944FA4334E5B}">
            <xm:f>Formules!$BE$111</xm:f>
            <x14:dxf>
              <font>
                <b/>
                <i val="0"/>
                <color rgb="FFFF0000"/>
              </font>
            </x14:dxf>
          </x14:cfRule>
          <xm:sqref>G71</xm:sqref>
        </x14:conditionalFormatting>
        <x14:conditionalFormatting xmlns:xm="http://schemas.microsoft.com/office/excel/2006/main">
          <x14:cfRule type="expression" priority="25" id="{2DD86796-8BEE-44CC-9388-BF5C6C75B6CD}">
            <xm:f>Formules!$BE$112</xm:f>
            <x14:dxf>
              <font>
                <b/>
                <i val="0"/>
                <color rgb="FFFF8000"/>
              </font>
            </x14:dxf>
          </x14:cfRule>
          <x14:cfRule type="expression" priority="26" id="{AFEF4B77-BFF3-4CDC-B6E0-771339A4DEE6}">
            <xm:f>Formules!$BE$111</xm:f>
            <x14:dxf>
              <font>
                <b/>
                <i val="0"/>
                <color rgb="FFFF0000"/>
              </font>
            </x14:dxf>
          </x14:cfRule>
          <xm:sqref>G72</xm:sqref>
        </x14:conditionalFormatting>
        <x14:conditionalFormatting xmlns:xm="http://schemas.microsoft.com/office/excel/2006/main">
          <x14:cfRule type="expression" priority="23" id="{5011D37D-607D-4327-BE8B-33751B4035AB}">
            <xm:f>Formules!$BE$112</xm:f>
            <x14:dxf>
              <font>
                <b/>
                <i val="0"/>
                <color rgb="FFFF8000"/>
              </font>
            </x14:dxf>
          </x14:cfRule>
          <x14:cfRule type="expression" priority="24" id="{BFC98897-729C-4384-B7AD-D880A0E45B31}">
            <xm:f>Formules!$BE$111</xm:f>
            <x14:dxf>
              <font>
                <b/>
                <i val="0"/>
                <color rgb="FFFF0000"/>
              </font>
            </x14:dxf>
          </x14:cfRule>
          <xm:sqref>H71</xm:sqref>
        </x14:conditionalFormatting>
        <x14:conditionalFormatting xmlns:xm="http://schemas.microsoft.com/office/excel/2006/main">
          <x14:cfRule type="expression" priority="21" id="{2A7AB248-F3BA-4613-A999-8766A77E8DB0}">
            <xm:f>Formules!$BE$112</xm:f>
            <x14:dxf>
              <font>
                <b/>
                <i val="0"/>
                <color rgb="FFFF8000"/>
              </font>
            </x14:dxf>
          </x14:cfRule>
          <x14:cfRule type="expression" priority="22" id="{D5353AE0-B6C4-4411-8C08-90C99C6C6A21}">
            <xm:f>Formules!$BE$111</xm:f>
            <x14:dxf>
              <font>
                <b/>
                <i val="0"/>
                <color rgb="FFFF0000"/>
              </font>
            </x14:dxf>
          </x14:cfRule>
          <xm:sqref>H72</xm:sqref>
        </x14:conditionalFormatting>
        <x14:conditionalFormatting xmlns:xm="http://schemas.microsoft.com/office/excel/2006/main">
          <x14:cfRule type="expression" priority="19" id="{2920415A-2D93-43BE-8E3F-2831B9D94358}">
            <xm:f>Formules!$BE$112</xm:f>
            <x14:dxf>
              <font>
                <b/>
                <i val="0"/>
                <color rgb="FFFF8000"/>
              </font>
            </x14:dxf>
          </x14:cfRule>
          <x14:cfRule type="expression" priority="20" id="{6884DF33-819E-4A6B-8237-4D45368BD24B}">
            <xm:f>Formules!$BE$111</xm:f>
            <x14:dxf>
              <font>
                <b/>
                <i val="0"/>
                <color rgb="FFFF0000"/>
              </font>
            </x14:dxf>
          </x14:cfRule>
          <xm:sqref>I71</xm:sqref>
        </x14:conditionalFormatting>
        <x14:conditionalFormatting xmlns:xm="http://schemas.microsoft.com/office/excel/2006/main">
          <x14:cfRule type="expression" priority="17" id="{23D11D01-7B12-4B18-B1CE-46218330133D}">
            <xm:f>Formules!$BE$112</xm:f>
            <x14:dxf>
              <font>
                <b/>
                <i val="0"/>
                <color rgb="FFFF8000"/>
              </font>
            </x14:dxf>
          </x14:cfRule>
          <x14:cfRule type="expression" priority="18" id="{0693AFD8-483A-489D-A13C-8B775BEC5220}">
            <xm:f>Formules!$BE$111</xm:f>
            <x14:dxf>
              <font>
                <b/>
                <i val="0"/>
                <color rgb="FFFF0000"/>
              </font>
            </x14:dxf>
          </x14:cfRule>
          <xm:sqref>I72</xm:sqref>
        </x14:conditionalFormatting>
        <x14:conditionalFormatting xmlns:xm="http://schemas.microsoft.com/office/excel/2006/main">
          <x14:cfRule type="expression" priority="15" id="{35BDBB1A-A856-48F1-B396-6ED715063762}">
            <xm:f>Formules!$BR$112</xm:f>
            <x14:dxf>
              <font>
                <b/>
                <i val="0"/>
                <color rgb="FFFF8000"/>
              </font>
            </x14:dxf>
          </x14:cfRule>
          <x14:cfRule type="expression" priority="16" id="{22D276FF-D58A-4B16-AC67-9A076F514F3D}">
            <xm:f>Formules!$BR$111</xm:f>
            <x14:dxf>
              <font>
                <b/>
                <i val="0"/>
                <color rgb="FFFF0000"/>
              </font>
            </x14:dxf>
          </x14:cfRule>
          <xm:sqref>R71</xm:sqref>
        </x14:conditionalFormatting>
        <x14:conditionalFormatting xmlns:xm="http://schemas.microsoft.com/office/excel/2006/main">
          <x14:cfRule type="expression" priority="13" id="{227C04E6-FA8C-47E5-BF16-26CE79783A94}">
            <xm:f>Formules!$BR$112</xm:f>
            <x14:dxf>
              <font>
                <b/>
                <i val="0"/>
                <color rgb="FFFF8000"/>
              </font>
            </x14:dxf>
          </x14:cfRule>
          <x14:cfRule type="expression" priority="14" id="{EE6C0908-D607-4339-A8C8-533BCD70A128}">
            <xm:f>Formules!$BR$111</xm:f>
            <x14:dxf>
              <font>
                <b/>
                <i val="0"/>
                <color rgb="FFFF0000"/>
              </font>
            </x14:dxf>
          </x14:cfRule>
          <xm:sqref>R72</xm:sqref>
        </x14:conditionalFormatting>
        <x14:conditionalFormatting xmlns:xm="http://schemas.microsoft.com/office/excel/2006/main">
          <x14:cfRule type="expression" priority="11" id="{6EB127C6-D1E4-4B67-B2ED-B60150E25879}">
            <xm:f>Formules!$BR$112</xm:f>
            <x14:dxf>
              <font>
                <b/>
                <i val="0"/>
                <color rgb="FFFF8000"/>
              </font>
            </x14:dxf>
          </x14:cfRule>
          <x14:cfRule type="expression" priority="12" id="{DD31004C-8DDC-4BDC-9CBF-64E04252FC5B}">
            <xm:f>Formules!$BR$111</xm:f>
            <x14:dxf>
              <font>
                <b/>
                <i val="0"/>
                <color rgb="FFFF0000"/>
              </font>
            </x14:dxf>
          </x14:cfRule>
          <xm:sqref>T71</xm:sqref>
        </x14:conditionalFormatting>
        <x14:conditionalFormatting xmlns:xm="http://schemas.microsoft.com/office/excel/2006/main">
          <x14:cfRule type="expression" priority="9" id="{82DD780D-2D3F-47D1-AB22-438DEFE4AA3C}">
            <xm:f>Formules!$BR$112</xm:f>
            <x14:dxf>
              <font>
                <b/>
                <i val="0"/>
                <color rgb="FFFF8000"/>
              </font>
            </x14:dxf>
          </x14:cfRule>
          <x14:cfRule type="expression" priority="10" id="{C1D91B81-60AC-415A-A8B1-900300A148C5}">
            <xm:f>Formules!$BR$111</xm:f>
            <x14:dxf>
              <font>
                <b/>
                <i val="0"/>
                <color rgb="FFFF0000"/>
              </font>
            </x14:dxf>
          </x14:cfRule>
          <xm:sqref>T72</xm:sqref>
        </x14:conditionalFormatting>
        <x14:conditionalFormatting xmlns:xm="http://schemas.microsoft.com/office/excel/2006/main">
          <x14:cfRule type="expression" priority="7" id="{4782A070-9E35-45C1-A06D-F5941A9B9F4E}">
            <xm:f>Formules!$BR$112</xm:f>
            <x14:dxf>
              <font>
                <b/>
                <i val="0"/>
                <color rgb="FFFF8000"/>
              </font>
            </x14:dxf>
          </x14:cfRule>
          <x14:cfRule type="expression" priority="8" id="{C125F3D0-2685-4A43-86D4-0D9CCD4C30CF}">
            <xm:f>Formules!$BR$111</xm:f>
            <x14:dxf>
              <font>
                <b/>
                <i val="0"/>
                <color rgb="FFFF0000"/>
              </font>
            </x14:dxf>
          </x14:cfRule>
          <xm:sqref>S71</xm:sqref>
        </x14:conditionalFormatting>
        <x14:conditionalFormatting xmlns:xm="http://schemas.microsoft.com/office/excel/2006/main">
          <x14:cfRule type="expression" priority="5" id="{304413C3-6758-443D-9C97-C9D746197BC2}">
            <xm:f>Formules!$BR$112</xm:f>
            <x14:dxf>
              <font>
                <b/>
                <i val="0"/>
                <color rgb="FFFF8000"/>
              </font>
            </x14:dxf>
          </x14:cfRule>
          <x14:cfRule type="expression" priority="6" id="{804654E5-8A50-4136-A27E-59ECA16717B4}">
            <xm:f>Formules!$BR$111</xm:f>
            <x14:dxf>
              <font>
                <b/>
                <i val="0"/>
                <color rgb="FFFF0000"/>
              </font>
            </x14:dxf>
          </x14:cfRule>
          <xm:sqref>S72</xm:sqref>
        </x14:conditionalFormatting>
        <x14:conditionalFormatting xmlns:xm="http://schemas.microsoft.com/office/excel/2006/main">
          <x14:cfRule type="expression" priority="3" id="{8241E0D8-E5B1-46EA-A951-2CC63EE0BB6C}">
            <xm:f>Formules!$BR$112</xm:f>
            <x14:dxf>
              <font>
                <b/>
                <i val="0"/>
                <color rgb="FFFF8000"/>
              </font>
            </x14:dxf>
          </x14:cfRule>
          <x14:cfRule type="expression" priority="4" id="{8F0D8A4E-A159-41BA-9DAE-C4906077AAF1}">
            <xm:f>Formules!$BR$111</xm:f>
            <x14:dxf>
              <font>
                <b/>
                <i val="0"/>
                <color rgb="FFFF0000"/>
              </font>
            </x14:dxf>
          </x14:cfRule>
          <xm:sqref>U71</xm:sqref>
        </x14:conditionalFormatting>
        <x14:conditionalFormatting xmlns:xm="http://schemas.microsoft.com/office/excel/2006/main">
          <x14:cfRule type="expression" priority="1" id="{6455C247-5AA8-4B7F-9696-79F90B04A1F1}">
            <xm:f>Formules!$BR$112</xm:f>
            <x14:dxf>
              <font>
                <b/>
                <i val="0"/>
                <color rgb="FFFF8000"/>
              </font>
            </x14:dxf>
          </x14:cfRule>
          <x14:cfRule type="expression" priority="2" id="{B0EBCFBA-4F8A-4BFF-9E00-C6D96334FE3E}">
            <xm:f>Formules!$BR$111</xm:f>
            <x14:dxf>
              <font>
                <b/>
                <i val="0"/>
                <color rgb="FFFF0000"/>
              </font>
            </x14:dxf>
          </x14:cfRule>
          <xm:sqref>U72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W157"/>
  <sheetViews>
    <sheetView topLeftCell="BK40" zoomScaleNormal="100" workbookViewId="0">
      <selection activeCell="BX60" sqref="BX60"/>
    </sheetView>
  </sheetViews>
  <sheetFormatPr defaultRowHeight="15" x14ac:dyDescent="0.25"/>
  <cols>
    <col min="1" max="1" width="1.28515625" customWidth="1"/>
    <col min="2" max="2" width="0.42578125" style="1" customWidth="1"/>
    <col min="3" max="3" width="4.5703125" customWidth="1"/>
    <col min="4" max="4" width="2.7109375" customWidth="1"/>
    <col min="5" max="5" width="25.7109375" customWidth="1"/>
    <col min="6" max="6" width="6.7109375" customWidth="1"/>
    <col min="7" max="7" width="5.7109375" customWidth="1"/>
    <col min="8" max="8" width="3.7109375" customWidth="1"/>
    <col min="9" max="9" width="5.7109375" customWidth="1"/>
    <col min="10" max="10" width="0.42578125" customWidth="1"/>
    <col min="11" max="11" width="5" customWidth="1"/>
    <col min="12" max="12" width="1.28515625" customWidth="1"/>
    <col min="13" max="13" width="5" customWidth="1"/>
    <col min="14" max="14" width="0.42578125" style="8" customWidth="1"/>
    <col min="15" max="15" width="4.5703125" style="8" customWidth="1"/>
    <col min="16" max="16" width="2.7109375" customWidth="1"/>
    <col min="17" max="17" width="25.7109375" customWidth="1"/>
    <col min="18" max="18" width="9" customWidth="1"/>
    <col min="19" max="19" width="5.7109375" customWidth="1"/>
    <col min="20" max="20" width="3.7109375" customWidth="1"/>
    <col min="21" max="21" width="5.7109375" customWidth="1"/>
    <col min="22" max="22" width="0.42578125" customWidth="1"/>
    <col min="23" max="23" width="5.7109375" customWidth="1"/>
    <col min="24" max="24" width="6.28515625" customWidth="1"/>
    <col min="25" max="25" width="0.42578125" customWidth="1"/>
    <col min="26" max="26" width="4.28515625" customWidth="1"/>
    <col min="27" max="27" width="2.7109375" customWidth="1"/>
    <col min="28" max="28" width="25.7109375" customWidth="1"/>
    <col min="29" max="29" width="6.7109375" customWidth="1"/>
    <col min="30" max="30" width="5.7109375" customWidth="1"/>
    <col min="31" max="31" width="3.7109375" customWidth="1"/>
    <col min="32" max="32" width="5.7109375" customWidth="1"/>
    <col min="33" max="33" width="2.7109375" customWidth="1"/>
    <col min="34" max="34" width="12.28515625" customWidth="1"/>
    <col min="35" max="35" width="10.28515625" customWidth="1"/>
    <col min="36" max="51" width="4.7109375" customWidth="1"/>
    <col min="52" max="55" width="4" customWidth="1"/>
    <col min="56" max="56" width="27" customWidth="1"/>
    <col min="57" max="57" width="9.85546875" customWidth="1"/>
    <col min="58" max="58" width="1.7109375" customWidth="1"/>
    <col min="59" max="59" width="24.5703125" customWidth="1"/>
    <col min="60" max="60" width="6.5703125" customWidth="1"/>
    <col min="61" max="61" width="28.7109375" customWidth="1"/>
    <col min="62" max="62" width="10.28515625" style="288" customWidth="1"/>
    <col min="63" max="63" width="27.28515625" customWidth="1"/>
    <col min="64" max="66" width="9.42578125" customWidth="1"/>
    <col min="67" max="67" width="2" customWidth="1"/>
    <col min="68" max="68" width="4" customWidth="1"/>
    <col min="69" max="69" width="24.7109375" customWidth="1"/>
    <col min="70" max="70" width="10" customWidth="1"/>
    <col min="71" max="71" width="1.7109375" customWidth="1"/>
    <col min="72" max="72" width="24.5703125" customWidth="1"/>
    <col min="73" max="73" width="6.5703125" customWidth="1"/>
    <col min="74" max="74" width="29.7109375" customWidth="1"/>
    <col min="75" max="75" width="12.28515625" customWidth="1"/>
    <col min="76" max="76" width="27.28515625" customWidth="1"/>
    <col min="77" max="79" width="9.42578125" customWidth="1"/>
    <col min="80" max="80" width="2" customWidth="1"/>
    <col min="81" max="81" width="4" customWidth="1"/>
    <col min="82" max="82" width="24.7109375" customWidth="1"/>
    <col min="83" max="83" width="6.28515625" customWidth="1"/>
    <col min="84" max="84" width="1.7109375" customWidth="1"/>
    <col min="85" max="85" width="24.5703125" customWidth="1"/>
    <col min="86" max="86" width="6.5703125" customWidth="1"/>
    <col min="87" max="87" width="29.7109375" customWidth="1"/>
    <col min="88" max="88" width="27.28515625" customWidth="1"/>
    <col min="89" max="91" width="9.42578125" customWidth="1"/>
    <col min="92" max="92" width="2" customWidth="1"/>
    <col min="93" max="93" width="9.7109375" bestFit="1" customWidth="1"/>
    <col min="94" max="94" width="5.28515625" bestFit="1" customWidth="1"/>
    <col min="95" max="126" width="4.28515625" customWidth="1"/>
  </cols>
  <sheetData>
    <row r="1" spans="1:115" s="15" customFormat="1" ht="8.65" customHeight="1" x14ac:dyDescent="0.25">
      <c r="B1" s="34"/>
      <c r="H1" s="34"/>
      <c r="P1" s="16"/>
      <c r="Q1" s="16"/>
      <c r="R1" s="16"/>
      <c r="BJ1" s="282"/>
    </row>
    <row r="2" spans="1:115" s="15" customFormat="1" ht="1.9" customHeight="1" thickBot="1" x14ac:dyDescent="0.3">
      <c r="B2" s="34"/>
      <c r="H2" s="34"/>
      <c r="N2" s="20"/>
      <c r="O2" s="20"/>
      <c r="P2" s="20"/>
      <c r="Q2" s="20"/>
      <c r="R2" s="20"/>
      <c r="S2" s="20"/>
      <c r="T2" s="20"/>
      <c r="U2" s="20"/>
      <c r="V2" s="20"/>
      <c r="BJ2" s="282"/>
    </row>
    <row r="3" spans="1:115" s="15" customFormat="1" ht="24" customHeight="1" thickBot="1" x14ac:dyDescent="0.45">
      <c r="B3" s="34"/>
      <c r="H3" s="34"/>
      <c r="N3" s="20"/>
      <c r="O3" s="162"/>
      <c r="P3" s="69" t="s">
        <v>28</v>
      </c>
      <c r="Q3" s="69"/>
      <c r="R3" s="69"/>
      <c r="S3" s="20"/>
      <c r="T3" s="20"/>
      <c r="U3" s="20"/>
      <c r="V3" s="20"/>
      <c r="X3" s="63"/>
      <c r="Y3" s="63"/>
      <c r="Z3" s="63"/>
      <c r="AA3" s="63"/>
      <c r="AB3" s="63"/>
      <c r="AC3" s="63"/>
      <c r="AD3" s="63"/>
      <c r="BJ3" s="282"/>
    </row>
    <row r="4" spans="1:115" s="15" customFormat="1" ht="1.9" customHeight="1" thickBot="1" x14ac:dyDescent="0.45">
      <c r="B4" s="34"/>
      <c r="H4" s="34"/>
      <c r="N4" s="20"/>
      <c r="O4" s="35"/>
      <c r="P4" s="20"/>
      <c r="Q4" s="20"/>
      <c r="R4" s="20"/>
      <c r="S4" s="20"/>
      <c r="T4" s="20"/>
      <c r="U4" s="20"/>
      <c r="V4" s="20"/>
      <c r="X4" s="63"/>
      <c r="Y4" s="63"/>
      <c r="Z4" s="63"/>
      <c r="AA4" s="63"/>
      <c r="AB4" s="63"/>
      <c r="AC4" s="63"/>
      <c r="AD4" s="63"/>
      <c r="BJ4" s="282"/>
    </row>
    <row r="5" spans="1:115" s="15" customFormat="1" ht="15" customHeight="1" x14ac:dyDescent="0.25">
      <c r="B5" s="34"/>
      <c r="H5" s="34"/>
      <c r="N5" s="20"/>
      <c r="O5" s="61"/>
      <c r="P5" s="26" t="s">
        <v>0</v>
      </c>
      <c r="Q5" s="26"/>
      <c r="R5" s="26"/>
      <c r="S5" s="26"/>
      <c r="T5" s="26"/>
      <c r="U5" s="27"/>
      <c r="V5" s="24"/>
      <c r="X5" s="341" t="str">
        <f>"hoogte "&amp;TEXT(BH28,"####")&amp;"mm"</f>
        <v>hoogte 343mm</v>
      </c>
      <c r="Y5" s="63"/>
      <c r="Z5" s="63"/>
      <c r="AA5" s="63"/>
      <c r="AB5" s="63"/>
      <c r="AC5" s="63"/>
      <c r="AD5" s="63"/>
      <c r="BJ5" s="282"/>
    </row>
    <row r="6" spans="1:115" s="15" customFormat="1" x14ac:dyDescent="0.25">
      <c r="B6" s="34"/>
      <c r="N6" s="20"/>
      <c r="O6" s="62"/>
      <c r="P6" s="17"/>
      <c r="Q6" s="60" t="s">
        <v>7</v>
      </c>
      <c r="R6" s="60"/>
      <c r="S6" s="198">
        <f>Standaard!$S6</f>
        <v>600</v>
      </c>
      <c r="T6" s="17" t="s">
        <v>1</v>
      </c>
      <c r="U6" s="28"/>
      <c r="V6" s="20"/>
      <c r="X6" s="342"/>
      <c r="Y6" s="63"/>
      <c r="Z6" s="63"/>
      <c r="AA6" s="63"/>
      <c r="AB6" s="63"/>
      <c r="AC6" s="63"/>
      <c r="AD6" s="63"/>
      <c r="BJ6" s="282"/>
    </row>
    <row r="7" spans="1:115" s="15" customFormat="1" ht="15" customHeight="1" x14ac:dyDescent="0.25">
      <c r="B7" s="34"/>
      <c r="N7" s="21"/>
      <c r="O7" s="62"/>
      <c r="P7" s="17"/>
      <c r="Q7" s="60" t="s">
        <v>18</v>
      </c>
      <c r="R7" s="60"/>
      <c r="S7" s="198">
        <f>Standaard!$S7</f>
        <v>400</v>
      </c>
      <c r="T7" s="17" t="s">
        <v>1</v>
      </c>
      <c r="U7" s="28"/>
      <c r="V7" s="20"/>
      <c r="X7" s="342"/>
      <c r="Y7" s="88"/>
      <c r="Z7" s="88"/>
      <c r="AA7" s="88"/>
      <c r="AB7" s="63"/>
      <c r="AC7" s="63"/>
      <c r="AD7" s="63"/>
      <c r="BJ7" s="282"/>
    </row>
    <row r="8" spans="1:115" s="15" customFormat="1" x14ac:dyDescent="0.25">
      <c r="B8" s="34"/>
      <c r="N8" s="21"/>
      <c r="O8" s="62"/>
      <c r="P8" s="17"/>
      <c r="Q8" s="60" t="s">
        <v>25</v>
      </c>
      <c r="R8" s="60"/>
      <c r="S8" s="198">
        <f>Standaard!$S8</f>
        <v>300</v>
      </c>
      <c r="T8" s="17" t="s">
        <v>1</v>
      </c>
      <c r="U8" s="28"/>
      <c r="V8" s="20"/>
      <c r="X8" s="342"/>
      <c r="Y8" s="63"/>
      <c r="Z8" s="63"/>
      <c r="AA8" s="88"/>
      <c r="AB8" s="63"/>
      <c r="AC8" s="63"/>
      <c r="AD8" s="63"/>
      <c r="AH8" s="336" t="str">
        <f>"breedte "&amp;TEXT(BH27,"####")&amp;"mm"</f>
        <v>breedte 443mm</v>
      </c>
      <c r="AI8" s="90"/>
      <c r="AJ8" s="90"/>
      <c r="AK8" s="90"/>
      <c r="AL8" s="90"/>
      <c r="AM8" s="90"/>
      <c r="AN8" s="90"/>
      <c r="AO8" s="90"/>
      <c r="AP8" s="90"/>
      <c r="AQ8" s="90"/>
      <c r="AR8" s="90"/>
      <c r="AS8" s="90"/>
      <c r="AT8" s="90"/>
      <c r="AU8" s="90"/>
      <c r="AV8" s="90"/>
      <c r="AW8" s="90"/>
      <c r="AX8" s="90"/>
      <c r="AY8" s="90"/>
      <c r="BJ8" s="282"/>
    </row>
    <row r="9" spans="1:115" s="15" customFormat="1" ht="15" customHeight="1" x14ac:dyDescent="0.25">
      <c r="B9" s="34"/>
      <c r="N9" s="21"/>
      <c r="O9" s="62"/>
      <c r="P9" s="17" t="s">
        <v>175</v>
      </c>
      <c r="Q9" s="59"/>
      <c r="R9" s="59"/>
      <c r="S9" s="198">
        <f>Standaard!$S9</f>
        <v>80</v>
      </c>
      <c r="T9" s="17" t="s">
        <v>1</v>
      </c>
      <c r="U9" s="165" t="str">
        <f>"("&amp;TEXT(BR123,"###")&amp;")"</f>
        <v>(58)</v>
      </c>
      <c r="V9" s="20"/>
      <c r="X9" s="342"/>
      <c r="Y9" s="63"/>
      <c r="Z9" s="63"/>
      <c r="AA9" s="88"/>
      <c r="AB9" s="63"/>
      <c r="AC9" s="63"/>
      <c r="AD9" s="63"/>
      <c r="AH9" s="337"/>
      <c r="AI9" s="90"/>
      <c r="AJ9" s="90"/>
      <c r="AK9" s="90"/>
      <c r="AL9" s="90"/>
      <c r="AM9" s="90"/>
      <c r="AN9" s="90"/>
      <c r="AO9" s="90"/>
      <c r="AP9" s="90"/>
      <c r="AQ9" s="90"/>
      <c r="AR9" s="90"/>
      <c r="AS9" s="90"/>
      <c r="AT9" s="90"/>
      <c r="AU9" s="90"/>
      <c r="AV9" s="90"/>
      <c r="AW9" s="90"/>
      <c r="AX9" s="90"/>
      <c r="AY9" s="90"/>
      <c r="AZ9" s="19"/>
      <c r="BA9" s="19"/>
      <c r="BB9" s="19"/>
      <c r="BC9" s="19"/>
      <c r="BD9" s="19"/>
      <c r="BE9" s="19"/>
      <c r="BF9" s="19"/>
      <c r="BG9" s="19"/>
      <c r="BH9" s="19"/>
      <c r="BI9" s="19"/>
      <c r="BJ9" s="283"/>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row>
    <row r="10" spans="1:115" s="15" customFormat="1" ht="15.75" thickBot="1" x14ac:dyDescent="0.3">
      <c r="B10" s="34"/>
      <c r="N10" s="21"/>
      <c r="O10" s="166"/>
      <c r="P10" s="29" t="s">
        <v>189</v>
      </c>
      <c r="Q10" s="167"/>
      <c r="R10" s="167"/>
      <c r="S10" s="207">
        <f>Standaard!$S10</f>
        <v>10</v>
      </c>
      <c r="T10" s="29" t="str">
        <f>IF(N(S10)&lt;&gt;0,"mm","")</f>
        <v>mm</v>
      </c>
      <c r="U10" s="30"/>
      <c r="V10" s="20"/>
      <c r="X10" s="63"/>
      <c r="Y10" s="63"/>
      <c r="Z10" s="63"/>
      <c r="AA10" s="63"/>
      <c r="AB10" s="63"/>
      <c r="AC10" s="63"/>
      <c r="AD10" s="63"/>
      <c r="AH10" s="337"/>
      <c r="AI10" s="90"/>
      <c r="AJ10" s="90"/>
      <c r="AK10" s="90"/>
      <c r="AL10" s="90"/>
      <c r="AM10" s="90"/>
      <c r="AN10" s="90"/>
      <c r="AO10" s="90"/>
      <c r="AP10" s="90"/>
      <c r="AQ10" s="90"/>
      <c r="AR10" s="90"/>
      <c r="AS10" s="90"/>
      <c r="AT10" s="90"/>
      <c r="AU10" s="90"/>
      <c r="AV10" s="90"/>
      <c r="AW10" s="90"/>
      <c r="AX10" s="90"/>
      <c r="AY10" s="90"/>
      <c r="AZ10" s="19"/>
      <c r="BA10" s="19"/>
      <c r="BB10" s="19"/>
      <c r="BC10" s="19"/>
      <c r="BD10" s="19"/>
      <c r="BE10" s="19"/>
      <c r="BF10" s="19"/>
      <c r="BJ10" s="282"/>
      <c r="BP10" s="19"/>
      <c r="BQ10" s="19"/>
      <c r="BR10" s="19"/>
      <c r="BS10" s="19"/>
      <c r="CC10" s="19"/>
      <c r="CD10" s="19"/>
      <c r="CE10" s="19"/>
      <c r="CF10" s="19"/>
    </row>
    <row r="11" spans="1:115" s="15" customFormat="1" ht="1.9" customHeight="1" x14ac:dyDescent="0.25">
      <c r="B11" s="34"/>
      <c r="N11" s="21"/>
      <c r="O11" s="21"/>
      <c r="P11" s="20"/>
      <c r="Q11" s="20"/>
      <c r="R11" s="20"/>
      <c r="S11" s="20"/>
      <c r="T11" s="20"/>
      <c r="U11" s="20"/>
      <c r="V11" s="20"/>
      <c r="X11" s="16"/>
      <c r="Y11" s="16"/>
      <c r="Z11" s="16"/>
      <c r="AA11" s="16"/>
      <c r="AB11" s="343" t="str">
        <f>"lengte "&amp;TEXT(BH26,"####")&amp;"mm"</f>
        <v>lengte 643mm</v>
      </c>
      <c r="AC11" s="344"/>
      <c r="AI11" s="19"/>
      <c r="AJ11" s="19"/>
      <c r="AK11" s="19"/>
      <c r="AL11" s="19"/>
      <c r="AM11" s="19"/>
      <c r="AN11" s="19"/>
      <c r="AO11" s="19"/>
      <c r="AP11" s="19"/>
      <c r="AQ11" s="19"/>
      <c r="AR11" s="19"/>
      <c r="AS11" s="19"/>
      <c r="AT11" s="19"/>
      <c r="AU11" s="19"/>
      <c r="AV11" s="19"/>
      <c r="AW11" s="19"/>
      <c r="AX11" s="19"/>
      <c r="AY11" s="19"/>
      <c r="AZ11" s="77"/>
      <c r="BG11" s="77"/>
      <c r="BH11" s="77"/>
      <c r="BI11" s="77"/>
      <c r="BJ11" s="284"/>
      <c r="BK11" s="77"/>
      <c r="BL11" s="77"/>
      <c r="BM11" s="77"/>
      <c r="BN11" s="77"/>
      <c r="BO11" s="77"/>
      <c r="BT11" s="77"/>
      <c r="BU11" s="77"/>
      <c r="BV11" s="77"/>
      <c r="BW11" s="77"/>
      <c r="BX11" s="77"/>
      <c r="BY11" s="77"/>
      <c r="BZ11" s="77"/>
      <c r="CA11" s="77"/>
      <c r="CB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row>
    <row r="12" spans="1:115" s="15" customFormat="1" ht="12.75" customHeight="1" x14ac:dyDescent="0.25">
      <c r="B12" s="34"/>
      <c r="N12" s="16"/>
      <c r="O12" s="16"/>
      <c r="X12" s="16"/>
      <c r="Y12" s="16"/>
      <c r="Z12" s="16"/>
      <c r="AA12" s="16"/>
      <c r="AB12" s="344"/>
      <c r="AC12" s="344"/>
      <c r="AI12" s="19"/>
      <c r="AJ12" s="19"/>
      <c r="AK12" s="19"/>
      <c r="AL12" s="19"/>
      <c r="AM12" s="19"/>
      <c r="AN12" s="19"/>
      <c r="AO12" s="19"/>
      <c r="AP12" s="19"/>
      <c r="AQ12" s="19"/>
      <c r="AR12" s="19"/>
      <c r="AS12" s="19"/>
      <c r="AT12" s="19"/>
      <c r="AU12" s="19"/>
      <c r="AV12" s="19"/>
      <c r="AW12" s="19"/>
      <c r="AX12" s="19"/>
      <c r="AY12" s="19"/>
      <c r="AZ12" s="77"/>
      <c r="BG12" s="77"/>
      <c r="BH12" s="77"/>
      <c r="BI12" s="77"/>
      <c r="BJ12" s="284"/>
      <c r="BK12" s="77"/>
      <c r="BL12" s="77"/>
      <c r="BM12" s="77"/>
      <c r="BN12" s="77"/>
      <c r="BO12" s="77"/>
      <c r="BT12" s="77"/>
      <c r="BU12" s="77"/>
      <c r="BV12" s="77"/>
      <c r="BW12" s="77"/>
      <c r="BX12" s="77"/>
      <c r="BY12" s="77"/>
      <c r="BZ12" s="77"/>
      <c r="CA12" s="77"/>
      <c r="CB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row>
    <row r="13" spans="1:115" s="20" customFormat="1" ht="1.9" customHeight="1" x14ac:dyDescent="0.25">
      <c r="A13" s="36"/>
      <c r="B13" s="36"/>
      <c r="AZ13" s="78"/>
      <c r="BA13" s="78"/>
      <c r="BB13" s="78"/>
      <c r="BC13" s="78"/>
      <c r="BD13" s="78"/>
      <c r="BE13" s="78"/>
      <c r="BF13" s="78"/>
      <c r="BG13" s="78"/>
      <c r="BH13" s="78"/>
      <c r="BI13" s="78"/>
      <c r="BJ13" s="285"/>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row>
    <row r="14" spans="1:115" s="14" customFormat="1" ht="25.15" customHeight="1" x14ac:dyDescent="0.35">
      <c r="A14" s="139"/>
      <c r="B14" s="11"/>
      <c r="C14" s="96"/>
      <c r="D14" s="96"/>
      <c r="E14" s="138"/>
      <c r="F14" s="96"/>
      <c r="G14" s="96"/>
      <c r="H14" s="96"/>
      <c r="I14" s="96"/>
      <c r="J14" s="96"/>
      <c r="K14" s="96"/>
      <c r="L14" s="96"/>
      <c r="M14" s="96"/>
      <c r="N14" s="96"/>
      <c r="O14" s="96"/>
      <c r="P14" s="96"/>
      <c r="Q14" s="96"/>
      <c r="R14" s="96" t="s">
        <v>38</v>
      </c>
      <c r="S14" s="96"/>
      <c r="T14" s="96"/>
      <c r="U14" s="155"/>
      <c r="V14" s="96"/>
      <c r="W14" s="96"/>
      <c r="X14" s="96"/>
      <c r="Y14" s="96"/>
      <c r="Z14" s="96"/>
      <c r="AA14" s="96"/>
      <c r="AB14" s="96"/>
      <c r="AC14" s="96"/>
      <c r="AD14" s="96"/>
      <c r="AE14" s="96"/>
      <c r="AF14" s="96"/>
      <c r="AG14" s="96"/>
      <c r="AI14" s="160"/>
      <c r="AJ14" s="160"/>
      <c r="AK14" s="160"/>
      <c r="AL14" s="160"/>
      <c r="AM14" s="160"/>
      <c r="AN14" s="160"/>
      <c r="AO14" s="160"/>
      <c r="AP14" s="160"/>
      <c r="AQ14" s="160"/>
      <c r="AR14" s="160"/>
      <c r="AS14" s="160"/>
      <c r="AT14" s="160"/>
      <c r="AU14" s="160"/>
      <c r="AV14" s="160"/>
      <c r="AW14" s="160"/>
      <c r="AX14" s="160"/>
      <c r="AY14" s="160"/>
      <c r="AZ14" s="79"/>
      <c r="BA14" s="79"/>
      <c r="BB14" s="79"/>
      <c r="BC14" s="79"/>
      <c r="BD14" s="79"/>
      <c r="BE14" s="79"/>
      <c r="BF14" s="79"/>
      <c r="BG14" s="79"/>
      <c r="BH14" s="79"/>
      <c r="BI14" s="79"/>
      <c r="BJ14" s="286"/>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row>
    <row r="15" spans="1:115" s="14" customFormat="1" ht="7.9" customHeight="1" x14ac:dyDescent="0.25">
      <c r="A15" s="11"/>
      <c r="B15" s="11"/>
      <c r="E15" s="11"/>
      <c r="G15" s="11"/>
      <c r="I15" s="11"/>
      <c r="J15" s="11"/>
      <c r="O15" s="11"/>
      <c r="P15" s="11"/>
      <c r="S15" s="11"/>
      <c r="U15" s="11"/>
      <c r="V15" s="11"/>
      <c r="AB15" s="11"/>
      <c r="AD15" s="11"/>
      <c r="BJ15" s="287"/>
    </row>
    <row r="16" spans="1:115" ht="7.9" customHeight="1" x14ac:dyDescent="0.25">
      <c r="A16" s="1"/>
      <c r="E16" s="1"/>
      <c r="G16" s="1"/>
      <c r="I16" s="1"/>
      <c r="J16" s="1"/>
      <c r="N16"/>
      <c r="O16" s="1"/>
      <c r="P16" s="1"/>
      <c r="S16" s="1"/>
      <c r="U16" s="1"/>
      <c r="V16" s="1"/>
      <c r="AB16" s="1"/>
      <c r="AD16" s="1"/>
      <c r="AH16" s="14"/>
    </row>
    <row r="17" spans="1:127" ht="1.9" customHeight="1" thickBot="1" x14ac:dyDescent="0.3">
      <c r="B17" s="36"/>
      <c r="C17" s="36"/>
      <c r="D17" s="36"/>
      <c r="E17" s="20"/>
      <c r="F17" s="20"/>
      <c r="G17" s="20"/>
      <c r="H17" s="20"/>
      <c r="I17" s="20"/>
      <c r="J17" s="20"/>
      <c r="N17" s="36"/>
      <c r="O17" s="36"/>
      <c r="P17" s="20"/>
      <c r="Q17" s="20"/>
      <c r="R17" s="20"/>
      <c r="S17" s="20"/>
      <c r="T17" s="20"/>
      <c r="U17" s="20"/>
      <c r="V17" s="20"/>
      <c r="Y17" s="36"/>
      <c r="Z17" s="36"/>
      <c r="AA17" s="20"/>
      <c r="AB17" s="20"/>
      <c r="AC17" s="20"/>
      <c r="AD17" s="20"/>
      <c r="AE17" s="20"/>
      <c r="AF17" s="20"/>
      <c r="AG17" s="20"/>
      <c r="AH17" s="14"/>
    </row>
    <row r="18" spans="1:127" ht="24" customHeight="1" thickBot="1" x14ac:dyDescent="0.45">
      <c r="A18" s="1"/>
      <c r="B18" s="36"/>
      <c r="C18" s="163"/>
      <c r="D18" s="69" t="s">
        <v>13</v>
      </c>
      <c r="E18" s="20"/>
      <c r="F18" s="20"/>
      <c r="G18" s="20"/>
      <c r="H18" s="20"/>
      <c r="I18" s="20"/>
      <c r="J18" s="20"/>
      <c r="N18" s="36"/>
      <c r="O18" s="164"/>
      <c r="P18" s="69" t="s">
        <v>147</v>
      </c>
      <c r="Q18" s="20"/>
      <c r="R18" s="20"/>
      <c r="S18" s="20"/>
      <c r="T18" s="20"/>
      <c r="U18" s="20"/>
      <c r="V18" s="20"/>
      <c r="X18" s="14"/>
      <c r="Y18" s="36"/>
      <c r="Z18" s="163"/>
      <c r="AA18" s="69" t="s">
        <v>148</v>
      </c>
      <c r="AB18" s="20"/>
      <c r="AC18" s="20"/>
      <c r="AD18" s="20"/>
      <c r="AE18" s="20"/>
      <c r="AF18" s="20"/>
      <c r="AG18" s="20"/>
      <c r="AH18" s="14"/>
      <c r="AI18" s="179"/>
      <c r="AJ18" s="179"/>
      <c r="AK18" s="179"/>
      <c r="AL18" s="179"/>
      <c r="AM18" s="179"/>
      <c r="AN18" s="179"/>
      <c r="AO18" s="179"/>
      <c r="AP18" s="179"/>
      <c r="AQ18" s="179"/>
      <c r="AR18" s="179"/>
      <c r="AS18" s="179"/>
      <c r="AT18" s="179"/>
      <c r="AU18" s="179"/>
      <c r="AV18" s="179"/>
      <c r="AW18" s="179"/>
      <c r="AX18" s="179"/>
      <c r="AY18" s="179"/>
      <c r="BC18" s="38"/>
      <c r="BD18" s="69" t="s">
        <v>13</v>
      </c>
      <c r="BE18" s="20"/>
      <c r="BP18" s="38"/>
      <c r="BQ18" s="69" t="s">
        <v>147</v>
      </c>
      <c r="BR18" s="20"/>
      <c r="CC18" s="38"/>
      <c r="CD18" s="69" t="s">
        <v>148</v>
      </c>
      <c r="CE18" s="20"/>
    </row>
    <row r="19" spans="1:127" ht="1.9" customHeight="1" thickBot="1" x14ac:dyDescent="0.4">
      <c r="A19" s="1"/>
      <c r="B19" s="36"/>
      <c r="C19" s="36"/>
      <c r="D19" s="36"/>
      <c r="E19" s="70"/>
      <c r="F19" s="20"/>
      <c r="G19" s="20"/>
      <c r="H19" s="20"/>
      <c r="I19" s="20"/>
      <c r="J19" s="20"/>
      <c r="N19" s="36"/>
      <c r="O19" s="36"/>
      <c r="P19" s="70"/>
      <c r="Q19" s="20"/>
      <c r="R19" s="20"/>
      <c r="S19" s="20"/>
      <c r="T19" s="20"/>
      <c r="U19" s="20"/>
      <c r="V19" s="20"/>
      <c r="X19" s="14"/>
      <c r="Y19" s="36"/>
      <c r="Z19" s="36"/>
      <c r="AA19" s="70"/>
      <c r="AB19" s="20"/>
      <c r="AC19" s="20"/>
      <c r="AD19" s="20"/>
      <c r="AE19" s="20"/>
      <c r="AF19" s="20"/>
      <c r="AG19" s="20"/>
      <c r="AH19" s="14"/>
    </row>
    <row r="20" spans="1:127" ht="17.649999999999999" customHeight="1" x14ac:dyDescent="0.25">
      <c r="B20" s="36"/>
      <c r="C20" s="142" t="s">
        <v>192</v>
      </c>
      <c r="D20" s="71"/>
      <c r="E20" s="71"/>
      <c r="F20" s="15"/>
      <c r="G20" s="15"/>
      <c r="H20" s="15"/>
      <c r="I20" s="15"/>
      <c r="J20" s="20"/>
      <c r="N20" s="36"/>
      <c r="O20" s="142" t="s">
        <v>192</v>
      </c>
      <c r="P20" s="71"/>
      <c r="Q20" s="15"/>
      <c r="R20" s="15"/>
      <c r="S20" s="15"/>
      <c r="T20" s="15"/>
      <c r="U20" s="15"/>
      <c r="V20" s="20"/>
      <c r="X20" s="14"/>
      <c r="Y20" s="36"/>
      <c r="Z20" s="142" t="s">
        <v>192</v>
      </c>
      <c r="AA20" s="71"/>
      <c r="AB20" s="15"/>
      <c r="AC20" s="15"/>
      <c r="AD20" s="15"/>
      <c r="AE20" s="15"/>
      <c r="AF20" s="15"/>
      <c r="AG20" s="20"/>
      <c r="AH20" s="14"/>
      <c r="BC20" s="101" t="s">
        <v>4</v>
      </c>
      <c r="BD20" s="102"/>
      <c r="BE20" s="103"/>
      <c r="BF20" s="11"/>
      <c r="BG20" s="109" t="s">
        <v>51</v>
      </c>
      <c r="BH20" s="42"/>
      <c r="BI20" s="42"/>
      <c r="BK20" s="47"/>
      <c r="BO20" s="132"/>
      <c r="BP20" s="101" t="s">
        <v>4</v>
      </c>
      <c r="BQ20" s="102"/>
      <c r="BR20" s="103"/>
      <c r="BS20" s="11"/>
      <c r="BT20" s="109" t="s">
        <v>51</v>
      </c>
      <c r="BU20" s="42"/>
      <c r="BX20" s="47"/>
      <c r="CB20" s="132"/>
      <c r="CC20" s="101" t="s">
        <v>4</v>
      </c>
      <c r="CD20" s="102"/>
      <c r="CE20" s="103"/>
      <c r="CF20" s="11"/>
      <c r="CH20" s="42"/>
      <c r="CJ20" s="47"/>
      <c r="CN20" s="132"/>
    </row>
    <row r="21" spans="1:127" x14ac:dyDescent="0.25">
      <c r="B21" s="36"/>
      <c r="C21" s="34"/>
      <c r="D21" s="34"/>
      <c r="E21" s="34"/>
      <c r="F21" s="44"/>
      <c r="G21" s="34"/>
      <c r="H21" s="34"/>
      <c r="I21" s="34"/>
      <c r="J21" s="20"/>
      <c r="N21" s="36"/>
      <c r="O21" s="34"/>
      <c r="P21" s="34"/>
      <c r="Q21" s="34"/>
      <c r="R21" s="44"/>
      <c r="S21" s="34"/>
      <c r="T21" s="34"/>
      <c r="U21" s="34"/>
      <c r="V21" s="20"/>
      <c r="X21" s="14"/>
      <c r="Y21" s="36"/>
      <c r="Z21" s="34"/>
      <c r="AA21" s="34"/>
      <c r="AB21" s="44"/>
      <c r="AC21" s="44"/>
      <c r="AD21" s="34"/>
      <c r="AE21" s="34"/>
      <c r="AF21" s="34"/>
      <c r="AG21" s="20"/>
      <c r="AH21" s="14"/>
      <c r="BC21" s="104"/>
      <c r="BD21" s="1" t="s">
        <v>18</v>
      </c>
      <c r="BE21" s="105">
        <v>30</v>
      </c>
      <c r="BF21" s="10"/>
      <c r="BG21" s="110" t="s">
        <v>210</v>
      </c>
      <c r="BJ21" s="289"/>
      <c r="BO21" s="132"/>
      <c r="BP21" s="104"/>
      <c r="BQ21" s="1" t="s">
        <v>18</v>
      </c>
      <c r="BR21" s="105">
        <v>30</v>
      </c>
      <c r="BS21" s="10"/>
      <c r="BT21" s="110" t="s">
        <v>210</v>
      </c>
      <c r="BV21" s="42"/>
      <c r="BW21" s="42"/>
      <c r="CB21" s="132"/>
      <c r="CC21" s="104"/>
      <c r="CD21" s="1" t="s">
        <v>18</v>
      </c>
      <c r="CE21" s="105">
        <v>30</v>
      </c>
      <c r="CF21" s="10"/>
      <c r="CI21" s="42"/>
      <c r="CN21" s="132"/>
      <c r="CQ21" s="57" t="s">
        <v>44</v>
      </c>
      <c r="CR21" s="54"/>
      <c r="CS21" s="54"/>
      <c r="CT21" s="54"/>
      <c r="CU21" s="54"/>
      <c r="CV21" s="54"/>
      <c r="CW21" s="54"/>
      <c r="CX21" s="54"/>
      <c r="CY21" s="54"/>
      <c r="CZ21" s="54"/>
      <c r="DA21" s="54"/>
      <c r="DB21" s="14"/>
      <c r="DC21" s="14"/>
      <c r="DD21" s="14"/>
      <c r="DE21" s="14"/>
      <c r="DF21" s="14"/>
      <c r="DG21" s="14"/>
      <c r="DH21" s="14"/>
      <c r="DI21" s="14"/>
      <c r="DJ21" s="14"/>
      <c r="DK21" s="14"/>
      <c r="DL21" s="14"/>
      <c r="DM21" s="14"/>
      <c r="DN21" s="14"/>
      <c r="DO21" s="14"/>
      <c r="DP21" s="14"/>
      <c r="DQ21" s="14"/>
    </row>
    <row r="22" spans="1:127" x14ac:dyDescent="0.25">
      <c r="B22" s="36"/>
      <c r="C22" s="64" t="s">
        <v>51</v>
      </c>
      <c r="D22" s="34"/>
      <c r="E22" s="34"/>
      <c r="F22" s="100"/>
      <c r="G22" s="370" t="str">
        <f>HYPERLINK("http://www.zelfbouwcase.nl/media/Files/Bouwhandleiding_standaard.pdf", "Handleiding Std")</f>
        <v>Handleiding Std</v>
      </c>
      <c r="H22" s="344"/>
      <c r="I22" s="344"/>
      <c r="J22" s="20"/>
      <c r="N22" s="36"/>
      <c r="O22" s="64" t="s">
        <v>30</v>
      </c>
      <c r="P22" s="34"/>
      <c r="Q22" s="100"/>
      <c r="R22" s="100"/>
      <c r="S22" s="370" t="str">
        <f>HYPERLINK("http://www.zelfbouwcase.nl/media/Files/Bouwhandleiding_heavy_duty", "Handleiding H-D")</f>
        <v>Handleiding H-D</v>
      </c>
      <c r="T22" s="344"/>
      <c r="U22" s="344"/>
      <c r="V22" s="20"/>
      <c r="X22" s="14"/>
      <c r="Y22" s="36"/>
      <c r="Z22" s="64" t="s">
        <v>51</v>
      </c>
      <c r="AA22" s="34"/>
      <c r="AB22" s="100"/>
      <c r="AC22" s="100"/>
      <c r="AD22" s="370" t="str">
        <f>HYPERLINK("http://www.zelfbouwcase.nl/media/Files/Bouwhandleiding_Slam_lid.pdf", "Handleiding S-L")</f>
        <v>Handleiding S-L</v>
      </c>
      <c r="AE22" s="344"/>
      <c r="AF22" s="344"/>
      <c r="AG22" s="20"/>
      <c r="AH22" s="14"/>
      <c r="BC22" s="104"/>
      <c r="BD22" s="1" t="s">
        <v>19</v>
      </c>
      <c r="BE22" s="105">
        <v>1.5</v>
      </c>
      <c r="BF22" s="10"/>
      <c r="BG22" s="110" t="s">
        <v>209</v>
      </c>
      <c r="BO22" s="132"/>
      <c r="BP22" s="104"/>
      <c r="BQ22" s="1" t="s">
        <v>19</v>
      </c>
      <c r="BR22" s="105">
        <v>2</v>
      </c>
      <c r="BS22" s="10"/>
      <c r="BT22" s="110" t="s">
        <v>209</v>
      </c>
      <c r="CB22" s="132"/>
      <c r="CC22" s="104"/>
      <c r="CD22" s="1" t="s">
        <v>19</v>
      </c>
      <c r="CE22" s="105">
        <v>1.5</v>
      </c>
      <c r="CF22" s="10"/>
      <c r="CN22" s="132"/>
      <c r="CO22" s="74"/>
      <c r="CP22" s="55">
        <v>0.1</v>
      </c>
      <c r="CQ22" s="55">
        <v>0.2</v>
      </c>
      <c r="CR22" s="55">
        <v>0.3</v>
      </c>
      <c r="CS22" s="55">
        <v>0.4</v>
      </c>
      <c r="CT22" s="55">
        <v>0.5</v>
      </c>
      <c r="CU22" s="55">
        <v>0.6</v>
      </c>
      <c r="CV22" s="55">
        <v>0.7</v>
      </c>
      <c r="CW22" s="55">
        <v>0.8</v>
      </c>
      <c r="CX22" s="55">
        <v>0.9</v>
      </c>
      <c r="CY22" s="55">
        <v>1</v>
      </c>
      <c r="CZ22" s="55">
        <v>1.1000000000000001</v>
      </c>
      <c r="DA22" s="55">
        <v>1.2</v>
      </c>
      <c r="DB22" s="55">
        <v>1.3</v>
      </c>
      <c r="DC22" s="55">
        <v>1.4</v>
      </c>
      <c r="DD22" s="55">
        <v>1.5</v>
      </c>
      <c r="DE22" s="55">
        <v>1.6</v>
      </c>
      <c r="DF22" s="55">
        <v>1.7</v>
      </c>
      <c r="DG22" s="55">
        <v>1.8</v>
      </c>
      <c r="DH22" s="55">
        <v>1.9</v>
      </c>
      <c r="DI22" s="55">
        <v>2</v>
      </c>
      <c r="DJ22" s="55">
        <v>2.1</v>
      </c>
      <c r="DK22" s="55">
        <v>2.2000000000000002</v>
      </c>
      <c r="DL22" s="55">
        <v>2.2999999999999998</v>
      </c>
      <c r="DM22" s="55">
        <v>2.4</v>
      </c>
      <c r="DN22" s="55">
        <v>2.5</v>
      </c>
      <c r="DO22" s="55">
        <v>2.6</v>
      </c>
      <c r="DP22" s="55">
        <v>2.7</v>
      </c>
      <c r="DQ22" s="55">
        <v>2.8</v>
      </c>
      <c r="DR22" s="55">
        <v>2.9</v>
      </c>
      <c r="DS22" s="55">
        <v>3</v>
      </c>
      <c r="DT22" s="56"/>
      <c r="DU22" s="14"/>
      <c r="DV22" s="14"/>
      <c r="DW22" s="14"/>
    </row>
    <row r="23" spans="1:127" ht="15.75" thickBot="1" x14ac:dyDescent="0.3">
      <c r="B23" s="36"/>
      <c r="C23" s="25"/>
      <c r="D23" s="372" t="str">
        <f>Standaard!D23</f>
        <v>Scharnierend deksel</v>
      </c>
      <c r="E23" s="373"/>
      <c r="F23" s="15"/>
      <c r="G23" s="374"/>
      <c r="H23" s="342"/>
      <c r="I23" s="342"/>
      <c r="J23" s="20"/>
      <c r="N23" s="36"/>
      <c r="O23" s="25"/>
      <c r="P23" s="338" t="str">
        <f>BX42</f>
        <v>9mm berken met 1mm HPL</v>
      </c>
      <c r="Q23" s="339"/>
      <c r="R23" s="100"/>
      <c r="S23" s="177"/>
      <c r="T23" s="177"/>
      <c r="U23" s="177"/>
      <c r="V23" s="20"/>
      <c r="X23" s="14"/>
      <c r="Y23" s="36"/>
      <c r="Z23" s="25"/>
      <c r="AA23" s="338" t="s">
        <v>148</v>
      </c>
      <c r="AB23" s="339"/>
      <c r="AC23" s="100"/>
      <c r="AD23" s="177"/>
      <c r="AE23" s="177"/>
      <c r="AF23" s="177"/>
      <c r="AG23" s="20"/>
      <c r="AH23" s="14"/>
      <c r="BC23" s="106"/>
      <c r="BD23" s="107" t="s">
        <v>8</v>
      </c>
      <c r="BE23" s="108">
        <f>BE21-BE22</f>
        <v>28.5</v>
      </c>
      <c r="BF23" s="11"/>
      <c r="BG23" s="111" t="b">
        <f>Standaard!D23=BG21</f>
        <v>1</v>
      </c>
      <c r="BO23" s="132"/>
      <c r="BP23" s="106"/>
      <c r="BQ23" s="107" t="s">
        <v>8</v>
      </c>
      <c r="BR23" s="108">
        <f>BR21-BR22</f>
        <v>28</v>
      </c>
      <c r="BS23" s="11"/>
      <c r="BT23" s="111" t="b">
        <f>Standaard!P25=BT21</f>
        <v>1</v>
      </c>
      <c r="CB23" s="132"/>
      <c r="CC23" s="106"/>
      <c r="CD23" s="107" t="s">
        <v>8</v>
      </c>
      <c r="CE23" s="108">
        <f>ROUND(CE21-CE22,0)</f>
        <v>29</v>
      </c>
      <c r="CF23" s="11"/>
      <c r="CN23" s="132"/>
      <c r="CO23" s="182" t="s">
        <v>62</v>
      </c>
      <c r="CP23" s="326">
        <f>CP29*BH29-CP25/2-CP26</f>
        <v>5.0959367945823918E-2</v>
      </c>
      <c r="CQ23" s="326">
        <f>IF(($BH$26/$BH$27*$CP$36)&gt;CQ$22,$CP23,-0.1)</f>
        <v>5.0959367945823918E-2</v>
      </c>
      <c r="CR23" s="326">
        <f t="shared" ref="CR23:DS27" si="0">IF(($BH$26/$BH$27*$CP$36)&gt;CR$22,$CP23,-0.1)</f>
        <v>5.0959367945823918E-2</v>
      </c>
      <c r="CS23" s="326">
        <f t="shared" si="0"/>
        <v>5.0959367945823918E-2</v>
      </c>
      <c r="CT23" s="326">
        <f t="shared" si="0"/>
        <v>5.0959367945823918E-2</v>
      </c>
      <c r="CU23" s="326">
        <f t="shared" si="0"/>
        <v>5.0959367945823918E-2</v>
      </c>
      <c r="CV23" s="326">
        <f t="shared" si="0"/>
        <v>5.0959367945823918E-2</v>
      </c>
      <c r="CW23" s="326">
        <f t="shared" si="0"/>
        <v>5.0959367945823918E-2</v>
      </c>
      <c r="CX23" s="326">
        <f t="shared" si="0"/>
        <v>5.0959367945823918E-2</v>
      </c>
      <c r="CY23" s="326">
        <f t="shared" si="0"/>
        <v>5.0959367945823918E-2</v>
      </c>
      <c r="CZ23" s="326">
        <f t="shared" si="0"/>
        <v>5.0959367945823918E-2</v>
      </c>
      <c r="DA23" s="326">
        <f t="shared" si="0"/>
        <v>5.0959367945823918E-2</v>
      </c>
      <c r="DB23" s="326">
        <f t="shared" si="0"/>
        <v>5.0959367945823918E-2</v>
      </c>
      <c r="DC23" s="326">
        <f t="shared" si="0"/>
        <v>5.0959367945823918E-2</v>
      </c>
      <c r="DD23" s="326">
        <f t="shared" si="0"/>
        <v>-0.1</v>
      </c>
      <c r="DE23" s="326">
        <f t="shared" si="0"/>
        <v>-0.1</v>
      </c>
      <c r="DF23" s="326">
        <f t="shared" si="0"/>
        <v>-0.1</v>
      </c>
      <c r="DG23" s="326">
        <f t="shared" si="0"/>
        <v>-0.1</v>
      </c>
      <c r="DH23" s="326">
        <f t="shared" si="0"/>
        <v>-0.1</v>
      </c>
      <c r="DI23" s="326">
        <f t="shared" si="0"/>
        <v>-0.1</v>
      </c>
      <c r="DJ23" s="326">
        <f t="shared" si="0"/>
        <v>-0.1</v>
      </c>
      <c r="DK23" s="326">
        <f t="shared" si="0"/>
        <v>-0.1</v>
      </c>
      <c r="DL23" s="326">
        <f t="shared" si="0"/>
        <v>-0.1</v>
      </c>
      <c r="DM23" s="326">
        <f t="shared" si="0"/>
        <v>-0.1</v>
      </c>
      <c r="DN23" s="326">
        <f t="shared" si="0"/>
        <v>-0.1</v>
      </c>
      <c r="DO23" s="326">
        <f t="shared" si="0"/>
        <v>-0.1</v>
      </c>
      <c r="DP23" s="326">
        <f t="shared" si="0"/>
        <v>-0.1</v>
      </c>
      <c r="DQ23" s="326">
        <f t="shared" si="0"/>
        <v>-0.1</v>
      </c>
      <c r="DR23" s="326">
        <f t="shared" si="0"/>
        <v>-0.1</v>
      </c>
      <c r="DS23" s="326">
        <f t="shared" si="0"/>
        <v>-0.1</v>
      </c>
      <c r="DT23" s="56"/>
      <c r="DU23" s="14"/>
      <c r="DV23" s="14"/>
      <c r="DW23" s="14"/>
    </row>
    <row r="24" spans="1:127" ht="15.75" thickBot="1" x14ac:dyDescent="0.3">
      <c r="B24" s="36"/>
      <c r="C24" s="64" t="s">
        <v>30</v>
      </c>
      <c r="D24" s="34"/>
      <c r="E24" s="34"/>
      <c r="F24" s="356"/>
      <c r="G24" s="357"/>
      <c r="H24" s="357"/>
      <c r="I24" s="357"/>
      <c r="J24" s="20"/>
      <c r="N24" s="36"/>
      <c r="O24" s="64" t="s">
        <v>51</v>
      </c>
      <c r="P24" s="34"/>
      <c r="Q24" s="181"/>
      <c r="R24" s="181"/>
      <c r="S24" s="177"/>
      <c r="T24" s="177"/>
      <c r="U24" s="177"/>
      <c r="V24" s="20"/>
      <c r="X24" s="14"/>
      <c r="Y24" s="36"/>
      <c r="Z24" s="64" t="s">
        <v>30</v>
      </c>
      <c r="AA24" s="34"/>
      <c r="AB24" s="181"/>
      <c r="AC24" s="181"/>
      <c r="AD24" s="177"/>
      <c r="AE24" s="177"/>
      <c r="AF24" s="177"/>
      <c r="AG24" s="20"/>
      <c r="AH24" s="14"/>
      <c r="BO24" s="132"/>
      <c r="CB24" s="132"/>
      <c r="CN24" s="132"/>
      <c r="CO24" s="182" t="s">
        <v>12</v>
      </c>
      <c r="CP24" s="326">
        <f>CP29*(BH28-BH29)-CP25/2-CP27</f>
        <v>0.34012415349887126</v>
      </c>
      <c r="CQ24" s="326">
        <f t="shared" ref="CQ24:CQ27" si="1">IF(($BH$26/$BH$27*$CP$36)&gt;CQ$22,$CP24,-0.1)</f>
        <v>0.34012415349887126</v>
      </c>
      <c r="CR24" s="326">
        <f t="shared" si="0"/>
        <v>0.34012415349887126</v>
      </c>
      <c r="CS24" s="326">
        <f t="shared" si="0"/>
        <v>0.34012415349887126</v>
      </c>
      <c r="CT24" s="326">
        <f t="shared" si="0"/>
        <v>0.34012415349887126</v>
      </c>
      <c r="CU24" s="326">
        <f t="shared" si="0"/>
        <v>0.34012415349887126</v>
      </c>
      <c r="CV24" s="326">
        <f t="shared" si="0"/>
        <v>0.34012415349887126</v>
      </c>
      <c r="CW24" s="326">
        <f t="shared" si="0"/>
        <v>0.34012415349887126</v>
      </c>
      <c r="CX24" s="326">
        <f t="shared" si="0"/>
        <v>0.34012415349887126</v>
      </c>
      <c r="CY24" s="326">
        <f t="shared" si="0"/>
        <v>0.34012415349887126</v>
      </c>
      <c r="CZ24" s="326">
        <f t="shared" si="0"/>
        <v>0.34012415349887126</v>
      </c>
      <c r="DA24" s="326">
        <f t="shared" si="0"/>
        <v>0.34012415349887126</v>
      </c>
      <c r="DB24" s="326">
        <f t="shared" si="0"/>
        <v>0.34012415349887126</v>
      </c>
      <c r="DC24" s="326">
        <f t="shared" si="0"/>
        <v>0.34012415349887126</v>
      </c>
      <c r="DD24" s="326">
        <f t="shared" si="0"/>
        <v>-0.1</v>
      </c>
      <c r="DE24" s="326">
        <f t="shared" si="0"/>
        <v>-0.1</v>
      </c>
      <c r="DF24" s="326">
        <f t="shared" si="0"/>
        <v>-0.1</v>
      </c>
      <c r="DG24" s="326">
        <f t="shared" si="0"/>
        <v>-0.1</v>
      </c>
      <c r="DH24" s="326">
        <f t="shared" si="0"/>
        <v>-0.1</v>
      </c>
      <c r="DI24" s="326">
        <f t="shared" si="0"/>
        <v>-0.1</v>
      </c>
      <c r="DJ24" s="326">
        <f t="shared" si="0"/>
        <v>-0.1</v>
      </c>
      <c r="DK24" s="326">
        <f t="shared" si="0"/>
        <v>-0.1</v>
      </c>
      <c r="DL24" s="326">
        <f t="shared" si="0"/>
        <v>-0.1</v>
      </c>
      <c r="DM24" s="326">
        <f t="shared" si="0"/>
        <v>-0.1</v>
      </c>
      <c r="DN24" s="326">
        <f t="shared" si="0"/>
        <v>-0.1</v>
      </c>
      <c r="DO24" s="326">
        <f t="shared" si="0"/>
        <v>-0.1</v>
      </c>
      <c r="DP24" s="326">
        <f t="shared" si="0"/>
        <v>-0.1</v>
      </c>
      <c r="DQ24" s="326">
        <f t="shared" si="0"/>
        <v>-0.1</v>
      </c>
      <c r="DR24" s="326">
        <f t="shared" si="0"/>
        <v>-0.1</v>
      </c>
      <c r="DS24" s="326">
        <f t="shared" si="0"/>
        <v>-0.1</v>
      </c>
      <c r="DT24" s="56"/>
      <c r="DU24" s="14"/>
      <c r="DV24" s="14"/>
      <c r="DW24" s="14"/>
    </row>
    <row r="25" spans="1:127" x14ac:dyDescent="0.25">
      <c r="B25" s="36"/>
      <c r="C25" s="25"/>
      <c r="D25" s="372" t="str">
        <f>Standaard!D25</f>
        <v>9mm berken met 1mm HPL</v>
      </c>
      <c r="E25" s="373"/>
      <c r="F25" s="15"/>
      <c r="G25" s="374" t="str">
        <f>HYPERLINK(BG33,BK33)</f>
        <v>Info plaatmat.</v>
      </c>
      <c r="H25" s="342"/>
      <c r="I25" s="342"/>
      <c r="J25" s="20"/>
      <c r="N25" s="36"/>
      <c r="O25" s="25"/>
      <c r="P25" s="375" t="s">
        <v>52</v>
      </c>
      <c r="Q25" s="376"/>
      <c r="R25" s="100"/>
      <c r="S25" s="177"/>
      <c r="T25" s="177"/>
      <c r="U25" s="177"/>
      <c r="V25" s="20"/>
      <c r="X25" s="14"/>
      <c r="Y25" s="36"/>
      <c r="Z25" s="25"/>
      <c r="AA25" s="338" t="s">
        <v>39</v>
      </c>
      <c r="AB25" s="339"/>
      <c r="AC25" s="100"/>
      <c r="AD25" s="177"/>
      <c r="AE25" s="177"/>
      <c r="AF25" s="177"/>
      <c r="AG25" s="20"/>
      <c r="AH25" s="14"/>
      <c r="BC25" s="101" t="s">
        <v>3</v>
      </c>
      <c r="BD25" s="102"/>
      <c r="BE25" s="112"/>
      <c r="BF25" s="12"/>
      <c r="BG25" s="101" t="s">
        <v>71</v>
      </c>
      <c r="BH25" s="116"/>
      <c r="BI25" s="75"/>
      <c r="BO25" s="132"/>
      <c r="BP25" s="101" t="s">
        <v>3</v>
      </c>
      <c r="BQ25" s="102"/>
      <c r="BR25" s="112"/>
      <c r="BS25" s="12"/>
      <c r="BT25" s="101" t="s">
        <v>71</v>
      </c>
      <c r="BU25" s="116"/>
      <c r="CB25" s="132"/>
      <c r="CC25" s="101" t="s">
        <v>3</v>
      </c>
      <c r="CD25" s="102"/>
      <c r="CE25" s="112"/>
      <c r="CF25" s="12"/>
      <c r="CG25" s="101" t="s">
        <v>71</v>
      </c>
      <c r="CH25" s="116"/>
      <c r="CN25" s="132"/>
      <c r="CO25" s="182" t="s">
        <v>63</v>
      </c>
      <c r="CP25" s="326">
        <f>CP29*(BE29+BE28)</f>
        <v>5.6094808126410829E-2</v>
      </c>
      <c r="CQ25" s="326">
        <f t="shared" si="1"/>
        <v>5.6094808126410829E-2</v>
      </c>
      <c r="CR25" s="326">
        <f t="shared" si="0"/>
        <v>5.6094808126410829E-2</v>
      </c>
      <c r="CS25" s="326">
        <f t="shared" si="0"/>
        <v>5.6094808126410829E-2</v>
      </c>
      <c r="CT25" s="326">
        <f t="shared" si="0"/>
        <v>5.6094808126410829E-2</v>
      </c>
      <c r="CU25" s="326">
        <f t="shared" si="0"/>
        <v>5.6094808126410829E-2</v>
      </c>
      <c r="CV25" s="326">
        <f t="shared" si="0"/>
        <v>5.6094808126410829E-2</v>
      </c>
      <c r="CW25" s="326">
        <f t="shared" si="0"/>
        <v>5.6094808126410829E-2</v>
      </c>
      <c r="CX25" s="326">
        <f t="shared" si="0"/>
        <v>5.6094808126410829E-2</v>
      </c>
      <c r="CY25" s="326">
        <f t="shared" si="0"/>
        <v>5.6094808126410829E-2</v>
      </c>
      <c r="CZ25" s="326">
        <f t="shared" si="0"/>
        <v>5.6094808126410829E-2</v>
      </c>
      <c r="DA25" s="326">
        <f t="shared" si="0"/>
        <v>5.6094808126410829E-2</v>
      </c>
      <c r="DB25" s="326">
        <f t="shared" si="0"/>
        <v>5.6094808126410829E-2</v>
      </c>
      <c r="DC25" s="326">
        <f t="shared" si="0"/>
        <v>5.6094808126410829E-2</v>
      </c>
      <c r="DD25" s="326">
        <f t="shared" si="0"/>
        <v>-0.1</v>
      </c>
      <c r="DE25" s="326">
        <f t="shared" si="0"/>
        <v>-0.1</v>
      </c>
      <c r="DF25" s="326">
        <f t="shared" si="0"/>
        <v>-0.1</v>
      </c>
      <c r="DG25" s="326">
        <f t="shared" si="0"/>
        <v>-0.1</v>
      </c>
      <c r="DH25" s="326">
        <f t="shared" si="0"/>
        <v>-0.1</v>
      </c>
      <c r="DI25" s="326">
        <f t="shared" si="0"/>
        <v>-0.1</v>
      </c>
      <c r="DJ25" s="326">
        <f t="shared" si="0"/>
        <v>-0.1</v>
      </c>
      <c r="DK25" s="326">
        <f t="shared" si="0"/>
        <v>-0.1</v>
      </c>
      <c r="DL25" s="326">
        <f t="shared" si="0"/>
        <v>-0.1</v>
      </c>
      <c r="DM25" s="326">
        <f t="shared" si="0"/>
        <v>-0.1</v>
      </c>
      <c r="DN25" s="326">
        <f t="shared" si="0"/>
        <v>-0.1</v>
      </c>
      <c r="DO25" s="326">
        <f t="shared" si="0"/>
        <v>-0.1</v>
      </c>
      <c r="DP25" s="326">
        <f t="shared" si="0"/>
        <v>-0.1</v>
      </c>
      <c r="DQ25" s="326">
        <f t="shared" si="0"/>
        <v>-0.1</v>
      </c>
      <c r="DR25" s="326">
        <f t="shared" si="0"/>
        <v>-0.1</v>
      </c>
      <c r="DS25" s="326">
        <f t="shared" si="0"/>
        <v>-0.1</v>
      </c>
      <c r="DT25" s="56"/>
      <c r="DU25" s="14"/>
      <c r="DV25" s="14"/>
      <c r="DW25" s="14"/>
    </row>
    <row r="26" spans="1:127" x14ac:dyDescent="0.25">
      <c r="B26" s="36"/>
      <c r="C26" s="64" t="s">
        <v>10</v>
      </c>
      <c r="D26" s="34"/>
      <c r="E26" s="34"/>
      <c r="F26" s="44"/>
      <c r="G26" s="44"/>
      <c r="H26" s="44"/>
      <c r="I26" s="34"/>
      <c r="J26" s="20"/>
      <c r="N26" s="36"/>
      <c r="O26" s="64" t="s">
        <v>10</v>
      </c>
      <c r="P26" s="34"/>
      <c r="Q26" s="34"/>
      <c r="R26" s="34"/>
      <c r="S26" s="44"/>
      <c r="T26" s="177"/>
      <c r="U26" s="177"/>
      <c r="V26" s="20"/>
      <c r="X26" s="14"/>
      <c r="Y26" s="36"/>
      <c r="Z26" s="64" t="s">
        <v>10</v>
      </c>
      <c r="AA26" s="34"/>
      <c r="AB26" s="34"/>
      <c r="AC26" s="34"/>
      <c r="AD26" s="44"/>
      <c r="AE26" s="177"/>
      <c r="AF26" s="177"/>
      <c r="AG26" s="20"/>
      <c r="AH26" s="137"/>
      <c r="AI26" s="368" t="s">
        <v>231</v>
      </c>
      <c r="AJ26" s="369"/>
      <c r="AK26" s="369"/>
      <c r="AL26" s="369"/>
      <c r="AM26" s="369"/>
      <c r="AN26" s="369"/>
      <c r="AO26" s="369"/>
      <c r="AP26" s="369"/>
      <c r="AQ26" s="369"/>
      <c r="AR26" s="369"/>
      <c r="BC26" s="104"/>
      <c r="BD26" s="1" t="s">
        <v>86</v>
      </c>
      <c r="BE26" s="113">
        <v>6</v>
      </c>
      <c r="BF26" s="76"/>
      <c r="BG26" s="104" t="s">
        <v>7</v>
      </c>
      <c r="BH26" s="117">
        <f>Standaard!S6+2*N(Standaard!S10)+2*BE46+2*BE22</f>
        <v>643</v>
      </c>
      <c r="BI26" s="48"/>
      <c r="BJ26" s="289"/>
      <c r="BO26" s="132"/>
      <c r="BP26" s="104"/>
      <c r="BQ26" s="1" t="s">
        <v>86</v>
      </c>
      <c r="BR26" s="113">
        <v>6</v>
      </c>
      <c r="BS26" s="76"/>
      <c r="BT26" s="104" t="s">
        <v>7</v>
      </c>
      <c r="BU26" s="117">
        <f>Standaard!S6+2*N(Standaard!S10)+2*BR42+2*BR22</f>
        <v>644</v>
      </c>
      <c r="BV26" s="42"/>
      <c r="BW26" s="42"/>
      <c r="CB26" s="132"/>
      <c r="CC26" s="104"/>
      <c r="CD26" s="1" t="s">
        <v>86</v>
      </c>
      <c r="CE26" s="113">
        <v>6</v>
      </c>
      <c r="CF26" s="76"/>
      <c r="CG26" s="104" t="s">
        <v>7</v>
      </c>
      <c r="CH26" s="117">
        <f>Standaard!S6+2*N(Standaard!S10)+2*CE42+2*CE22</f>
        <v>641</v>
      </c>
      <c r="CI26" s="42"/>
      <c r="CN26" s="132"/>
      <c r="CO26" s="182" t="s">
        <v>64</v>
      </c>
      <c r="CP26" s="326">
        <f>CP29*30</f>
        <v>4.7404063205417603E-2</v>
      </c>
      <c r="CQ26" s="326">
        <f t="shared" si="1"/>
        <v>4.7404063205417603E-2</v>
      </c>
      <c r="CR26" s="326">
        <f t="shared" si="0"/>
        <v>4.7404063205417603E-2</v>
      </c>
      <c r="CS26" s="326">
        <f t="shared" si="0"/>
        <v>4.7404063205417603E-2</v>
      </c>
      <c r="CT26" s="326">
        <f t="shared" si="0"/>
        <v>4.7404063205417603E-2</v>
      </c>
      <c r="CU26" s="326">
        <f t="shared" si="0"/>
        <v>4.7404063205417603E-2</v>
      </c>
      <c r="CV26" s="326">
        <f t="shared" si="0"/>
        <v>4.7404063205417603E-2</v>
      </c>
      <c r="CW26" s="326">
        <f t="shared" si="0"/>
        <v>4.7404063205417603E-2</v>
      </c>
      <c r="CX26" s="326">
        <f t="shared" si="0"/>
        <v>4.7404063205417603E-2</v>
      </c>
      <c r="CY26" s="326">
        <f t="shared" si="0"/>
        <v>4.7404063205417603E-2</v>
      </c>
      <c r="CZ26" s="326">
        <f t="shared" si="0"/>
        <v>4.7404063205417603E-2</v>
      </c>
      <c r="DA26" s="326">
        <f t="shared" si="0"/>
        <v>4.7404063205417603E-2</v>
      </c>
      <c r="DB26" s="326">
        <f t="shared" si="0"/>
        <v>4.7404063205417603E-2</v>
      </c>
      <c r="DC26" s="326">
        <f t="shared" si="0"/>
        <v>4.7404063205417603E-2</v>
      </c>
      <c r="DD26" s="326">
        <f t="shared" si="0"/>
        <v>-0.1</v>
      </c>
      <c r="DE26" s="326">
        <f t="shared" si="0"/>
        <v>-0.1</v>
      </c>
      <c r="DF26" s="326">
        <f t="shared" si="0"/>
        <v>-0.1</v>
      </c>
      <c r="DG26" s="326">
        <f t="shared" si="0"/>
        <v>-0.1</v>
      </c>
      <c r="DH26" s="326">
        <f t="shared" si="0"/>
        <v>-0.1</v>
      </c>
      <c r="DI26" s="326">
        <f t="shared" si="0"/>
        <v>-0.1</v>
      </c>
      <c r="DJ26" s="326">
        <f t="shared" si="0"/>
        <v>-0.1</v>
      </c>
      <c r="DK26" s="326">
        <f t="shared" si="0"/>
        <v>-0.1</v>
      </c>
      <c r="DL26" s="326">
        <f t="shared" si="0"/>
        <v>-0.1</v>
      </c>
      <c r="DM26" s="326">
        <f t="shared" si="0"/>
        <v>-0.1</v>
      </c>
      <c r="DN26" s="326">
        <f t="shared" si="0"/>
        <v>-0.1</v>
      </c>
      <c r="DO26" s="326">
        <f t="shared" si="0"/>
        <v>-0.1</v>
      </c>
      <c r="DP26" s="326">
        <f t="shared" si="0"/>
        <v>-0.1</v>
      </c>
      <c r="DQ26" s="326">
        <f t="shared" si="0"/>
        <v>-0.1</v>
      </c>
      <c r="DR26" s="326">
        <f t="shared" si="0"/>
        <v>-0.1</v>
      </c>
      <c r="DS26" s="326">
        <f t="shared" si="0"/>
        <v>-0.1</v>
      </c>
      <c r="DT26" s="14"/>
      <c r="DU26" s="14"/>
    </row>
    <row r="27" spans="1:127" x14ac:dyDescent="0.25">
      <c r="B27" s="36"/>
      <c r="C27" s="25"/>
      <c r="D27" s="372" t="str">
        <f>Standaard!D27</f>
        <v>Grote balhoek</v>
      </c>
      <c r="E27" s="373"/>
      <c r="F27" s="44"/>
      <c r="G27" s="374" t="str">
        <f>HYPERLINK(BG34,BK34)</f>
        <v>Info hoeken</v>
      </c>
      <c r="H27" s="342"/>
      <c r="I27" s="342"/>
      <c r="J27" s="20"/>
      <c r="M27" s="1"/>
      <c r="N27" s="36"/>
      <c r="O27" s="25"/>
      <c r="P27" s="375" t="s">
        <v>162</v>
      </c>
      <c r="Q27" s="376"/>
      <c r="R27" s="100"/>
      <c r="S27" s="186" t="str">
        <f>HYPERLINK(BT34,BX34)</f>
        <v>Info hoeken</v>
      </c>
      <c r="T27" s="177"/>
      <c r="U27" s="177"/>
      <c r="V27" s="20"/>
      <c r="X27" s="14"/>
      <c r="Y27" s="36"/>
      <c r="Z27" s="25"/>
      <c r="AA27" s="338" t="s">
        <v>128</v>
      </c>
      <c r="AB27" s="339"/>
      <c r="AC27" s="100"/>
      <c r="AD27" s="177"/>
      <c r="AE27" s="177"/>
      <c r="AF27" s="177"/>
      <c r="AG27" s="20"/>
      <c r="AH27" s="137"/>
      <c r="AI27" s="369"/>
      <c r="AJ27" s="369"/>
      <c r="AK27" s="369"/>
      <c r="AL27" s="369"/>
      <c r="AM27" s="369"/>
      <c r="AN27" s="369"/>
      <c r="AO27" s="369"/>
      <c r="AP27" s="369"/>
      <c r="AQ27" s="369"/>
      <c r="AR27" s="369"/>
      <c r="BC27" s="104"/>
      <c r="BD27" s="1" t="s">
        <v>87</v>
      </c>
      <c r="BE27" s="114">
        <v>2</v>
      </c>
      <c r="BF27" s="76"/>
      <c r="BG27" s="104" t="s">
        <v>5</v>
      </c>
      <c r="BH27" s="117">
        <f>Standaard!S7+2*N(Standaard!S10)+2*BE46+2*BE22</f>
        <v>443</v>
      </c>
      <c r="BI27" s="48"/>
      <c r="BO27" s="132"/>
      <c r="BP27" s="104"/>
      <c r="BQ27" s="1" t="s">
        <v>87</v>
      </c>
      <c r="BR27" s="114">
        <v>2</v>
      </c>
      <c r="BS27" s="76"/>
      <c r="BT27" s="104" t="s">
        <v>5</v>
      </c>
      <c r="BU27" s="117">
        <f>Standaard!S7+2*N(Standaard!S10)+2*BR42+2*BR22</f>
        <v>444</v>
      </c>
      <c r="CB27" s="132"/>
      <c r="CC27" s="104"/>
      <c r="CD27" s="1" t="s">
        <v>87</v>
      </c>
      <c r="CE27" s="114">
        <v>2</v>
      </c>
      <c r="CF27" s="76"/>
      <c r="CG27" s="104" t="s">
        <v>5</v>
      </c>
      <c r="CH27" s="117">
        <f>Standaard!S7+2*N(Standaard!S10)+2*CE42+2*CE22</f>
        <v>441</v>
      </c>
      <c r="CN27" s="132"/>
      <c r="CO27" s="182" t="s">
        <v>65</v>
      </c>
      <c r="CP27" s="326">
        <f>CP29*30</f>
        <v>4.7404063205417603E-2</v>
      </c>
      <c r="CQ27" s="326">
        <f t="shared" si="1"/>
        <v>4.7404063205417603E-2</v>
      </c>
      <c r="CR27" s="326">
        <f t="shared" si="0"/>
        <v>4.7404063205417603E-2</v>
      </c>
      <c r="CS27" s="326">
        <f t="shared" si="0"/>
        <v>4.7404063205417603E-2</v>
      </c>
      <c r="CT27" s="326">
        <f t="shared" si="0"/>
        <v>4.7404063205417603E-2</v>
      </c>
      <c r="CU27" s="326">
        <f t="shared" si="0"/>
        <v>4.7404063205417603E-2</v>
      </c>
      <c r="CV27" s="326">
        <f t="shared" si="0"/>
        <v>4.7404063205417603E-2</v>
      </c>
      <c r="CW27" s="326">
        <f t="shared" si="0"/>
        <v>4.7404063205417603E-2</v>
      </c>
      <c r="CX27" s="326">
        <f t="shared" si="0"/>
        <v>4.7404063205417603E-2</v>
      </c>
      <c r="CY27" s="326">
        <f t="shared" si="0"/>
        <v>4.7404063205417603E-2</v>
      </c>
      <c r="CZ27" s="326">
        <f t="shared" si="0"/>
        <v>4.7404063205417603E-2</v>
      </c>
      <c r="DA27" s="326">
        <f t="shared" si="0"/>
        <v>4.7404063205417603E-2</v>
      </c>
      <c r="DB27" s="326">
        <f t="shared" si="0"/>
        <v>4.7404063205417603E-2</v>
      </c>
      <c r="DC27" s="326">
        <f t="shared" si="0"/>
        <v>4.7404063205417603E-2</v>
      </c>
      <c r="DD27" s="326">
        <f t="shared" si="0"/>
        <v>-0.1</v>
      </c>
      <c r="DE27" s="326">
        <f t="shared" si="0"/>
        <v>-0.1</v>
      </c>
      <c r="DF27" s="326">
        <f t="shared" si="0"/>
        <v>-0.1</v>
      </c>
      <c r="DG27" s="326">
        <f t="shared" si="0"/>
        <v>-0.1</v>
      </c>
      <c r="DH27" s="326">
        <f t="shared" si="0"/>
        <v>-0.1</v>
      </c>
      <c r="DI27" s="326">
        <f t="shared" si="0"/>
        <v>-0.1</v>
      </c>
      <c r="DJ27" s="326">
        <f t="shared" si="0"/>
        <v>-0.1</v>
      </c>
      <c r="DK27" s="326">
        <f t="shared" si="0"/>
        <v>-0.1</v>
      </c>
      <c r="DL27" s="326">
        <f t="shared" si="0"/>
        <v>-0.1</v>
      </c>
      <c r="DM27" s="326">
        <f t="shared" si="0"/>
        <v>-0.1</v>
      </c>
      <c r="DN27" s="326">
        <f t="shared" si="0"/>
        <v>-0.1</v>
      </c>
      <c r="DO27" s="326">
        <f t="shared" si="0"/>
        <v>-0.1</v>
      </c>
      <c r="DP27" s="326">
        <f t="shared" si="0"/>
        <v>-0.1</v>
      </c>
      <c r="DQ27" s="326">
        <f t="shared" si="0"/>
        <v>-0.1</v>
      </c>
      <c r="DR27" s="326">
        <f t="shared" si="0"/>
        <v>-0.1</v>
      </c>
      <c r="DS27" s="326">
        <f t="shared" si="0"/>
        <v>-0.1</v>
      </c>
    </row>
    <row r="28" spans="1:127" x14ac:dyDescent="0.25">
      <c r="B28" s="36"/>
      <c r="C28" s="64" t="s">
        <v>70</v>
      </c>
      <c r="D28" s="34"/>
      <c r="E28" s="34"/>
      <c r="F28" s="44"/>
      <c r="G28" s="44"/>
      <c r="H28" s="44"/>
      <c r="I28" s="44"/>
      <c r="J28" s="20"/>
      <c r="K28" s="183"/>
      <c r="L28" s="183"/>
      <c r="M28" s="183"/>
      <c r="N28" s="36"/>
      <c r="O28" s="64" t="s">
        <v>70</v>
      </c>
      <c r="P28" s="34"/>
      <c r="Q28" s="34"/>
      <c r="R28" s="34"/>
      <c r="S28" s="44"/>
      <c r="T28" s="177"/>
      <c r="U28" s="177"/>
      <c r="V28" s="20"/>
      <c r="Y28" s="36"/>
      <c r="Z28" s="64" t="s">
        <v>70</v>
      </c>
      <c r="AA28" s="34"/>
      <c r="AB28" s="34"/>
      <c r="AC28" s="34"/>
      <c r="AD28" s="44"/>
      <c r="AE28" s="177"/>
      <c r="AF28" s="177"/>
      <c r="AG28" s="20"/>
      <c r="AH28" s="137"/>
      <c r="AI28" s="369"/>
      <c r="AJ28" s="369"/>
      <c r="AK28" s="369"/>
      <c r="AL28" s="369"/>
      <c r="AM28" s="369"/>
      <c r="AN28" s="369"/>
      <c r="AO28" s="369"/>
      <c r="AP28" s="369"/>
      <c r="AQ28" s="369"/>
      <c r="AR28" s="369"/>
      <c r="BC28" s="104"/>
      <c r="BD28" s="1" t="s">
        <v>20</v>
      </c>
      <c r="BE28" s="113">
        <v>18.5</v>
      </c>
      <c r="BF28" s="76"/>
      <c r="BG28" s="104" t="s">
        <v>72</v>
      </c>
      <c r="BH28" s="117">
        <f>Standaard!S8+2*N(Standaard!S10)+2*BE46+2*BE22</f>
        <v>343</v>
      </c>
      <c r="BI28" s="48"/>
      <c r="BO28" s="132"/>
      <c r="BP28" s="104"/>
      <c r="BQ28" s="1" t="s">
        <v>20</v>
      </c>
      <c r="BR28" s="113">
        <v>18.5</v>
      </c>
      <c r="BS28" s="76"/>
      <c r="BT28" s="104" t="s">
        <v>72</v>
      </c>
      <c r="BU28" s="117">
        <f>Standaard!S8+2*N(Standaard!S10)+2*BR42+2*BR22</f>
        <v>344</v>
      </c>
      <c r="CB28" s="132"/>
      <c r="CC28" s="104"/>
      <c r="CD28" s="1" t="s">
        <v>20</v>
      </c>
      <c r="CE28" s="113">
        <v>28</v>
      </c>
      <c r="CF28" s="76"/>
      <c r="CG28" s="104" t="s">
        <v>72</v>
      </c>
      <c r="CH28" s="117">
        <f>Standaard!S8+2*N(Standaard!S10)+2*CE42+2*CE22</f>
        <v>341</v>
      </c>
      <c r="CN28" s="132"/>
      <c r="CS28" s="327">
        <f>SUM(CS23:CS27)</f>
        <v>0.54198645598194117</v>
      </c>
    </row>
    <row r="29" spans="1:127" x14ac:dyDescent="0.25">
      <c r="B29" s="36"/>
      <c r="C29" s="25"/>
      <c r="D29" s="372" t="str">
        <f>Standaard!D29</f>
        <v>Middelgrote sluitingen (±10x10cm)</v>
      </c>
      <c r="E29" s="373"/>
      <c r="F29" s="44"/>
      <c r="G29" s="374" t="str">
        <f>HYPERLINK(BG35,BK35)</f>
        <v>Info sluitingen</v>
      </c>
      <c r="H29" s="342"/>
      <c r="I29" s="342"/>
      <c r="J29" s="20"/>
      <c r="K29" s="3"/>
      <c r="L29" s="1"/>
      <c r="M29" s="1"/>
      <c r="N29" s="36"/>
      <c r="O29" s="25"/>
      <c r="P29" s="375" t="s">
        <v>116</v>
      </c>
      <c r="Q29" s="376"/>
      <c r="R29" s="100"/>
      <c r="S29" s="186" t="str">
        <f>HYPERLINK(BT35,BX35)</f>
        <v>Info sluitingen</v>
      </c>
      <c r="T29" s="177"/>
      <c r="U29" s="177"/>
      <c r="V29" s="20"/>
      <c r="Y29" s="36"/>
      <c r="Z29" s="25"/>
      <c r="AA29" s="338" t="s">
        <v>148</v>
      </c>
      <c r="AB29" s="339"/>
      <c r="AC29" s="100"/>
      <c r="AD29" s="177"/>
      <c r="AE29" s="177"/>
      <c r="AF29" s="177"/>
      <c r="AG29" s="20"/>
      <c r="AH29" s="137"/>
      <c r="AI29" s="369"/>
      <c r="AJ29" s="369"/>
      <c r="AK29" s="369"/>
      <c r="AL29" s="369"/>
      <c r="AM29" s="369"/>
      <c r="AN29" s="369"/>
      <c r="AO29" s="369"/>
      <c r="AP29" s="369"/>
      <c r="AQ29" s="369"/>
      <c r="AR29" s="369"/>
      <c r="BB29" s="1"/>
      <c r="BC29" s="104"/>
      <c r="BD29" s="1" t="s">
        <v>21</v>
      </c>
      <c r="BE29" s="113">
        <v>17</v>
      </c>
      <c r="BF29" s="23"/>
      <c r="BG29" s="104" t="s">
        <v>62</v>
      </c>
      <c r="BH29" s="117">
        <f>Standaard!S9</f>
        <v>80</v>
      </c>
      <c r="BI29" s="48"/>
      <c r="BO29" s="132"/>
      <c r="BP29" s="104"/>
      <c r="BQ29" s="1" t="s">
        <v>21</v>
      </c>
      <c r="BR29" s="113">
        <v>18.5</v>
      </c>
      <c r="BS29" s="23"/>
      <c r="BT29" s="104" t="s">
        <v>62</v>
      </c>
      <c r="BU29" s="117">
        <f>Standaard!S9</f>
        <v>80</v>
      </c>
      <c r="CB29" s="132"/>
      <c r="CC29" s="104"/>
      <c r="CD29" s="1"/>
      <c r="CE29" s="113"/>
      <c r="CF29" s="23"/>
      <c r="CG29" s="104"/>
      <c r="CH29" s="117"/>
      <c r="CN29" s="132"/>
      <c r="CP29" s="329">
        <f>0.7/BH27*CP36*CP39</f>
        <v>1.5801354401805867E-3</v>
      </c>
      <c r="CQ29" s="326"/>
    </row>
    <row r="30" spans="1:127" ht="15.75" thickBot="1" x14ac:dyDescent="0.3">
      <c r="B30" s="36"/>
      <c r="C30" s="25"/>
      <c r="D30" s="25"/>
      <c r="E30" s="199"/>
      <c r="F30" s="25"/>
      <c r="G30" s="25"/>
      <c r="H30" s="25"/>
      <c r="I30" s="25"/>
      <c r="J30" s="20"/>
      <c r="K30" s="3"/>
      <c r="L30" s="1"/>
      <c r="M30" s="1"/>
      <c r="N30" s="36"/>
      <c r="O30" s="25"/>
      <c r="P30" s="25"/>
      <c r="Q30" s="25"/>
      <c r="R30" s="25"/>
      <c r="S30" s="25"/>
      <c r="T30" s="177"/>
      <c r="U30" s="177"/>
      <c r="V30" s="20"/>
      <c r="Y30" s="36"/>
      <c r="Z30" s="25"/>
      <c r="AA30" s="25"/>
      <c r="AB30" s="25"/>
      <c r="AC30" s="25"/>
      <c r="AD30" s="25"/>
      <c r="AE30" s="177"/>
      <c r="AF30" s="177"/>
      <c r="AG30" s="20"/>
      <c r="AH30" s="137"/>
      <c r="AI30" s="369"/>
      <c r="AJ30" s="369"/>
      <c r="AK30" s="369"/>
      <c r="AL30" s="369"/>
      <c r="AM30" s="369"/>
      <c r="AN30" s="369"/>
      <c r="AO30" s="369"/>
      <c r="AP30" s="369"/>
      <c r="AQ30" s="369"/>
      <c r="AR30" s="369"/>
      <c r="BC30" s="106"/>
      <c r="BD30" s="107" t="s">
        <v>22</v>
      </c>
      <c r="BE30" s="115">
        <v>1.5</v>
      </c>
      <c r="BG30" s="104" t="s">
        <v>88</v>
      </c>
      <c r="BH30" s="114">
        <v>50</v>
      </c>
      <c r="BI30" s="1"/>
      <c r="BO30" s="132"/>
      <c r="BP30" s="106"/>
      <c r="BQ30" s="107" t="s">
        <v>22</v>
      </c>
      <c r="BR30" s="118">
        <v>2</v>
      </c>
      <c r="BT30" s="106" t="s">
        <v>88</v>
      </c>
      <c r="BU30" s="118">
        <v>50</v>
      </c>
      <c r="CB30" s="132"/>
      <c r="CC30" s="106"/>
      <c r="CD30" s="107" t="s">
        <v>22</v>
      </c>
      <c r="CE30" s="169">
        <v>2</v>
      </c>
      <c r="CG30" s="106"/>
      <c r="CH30" s="118"/>
      <c r="CN30" s="132"/>
      <c r="CQ30" s="326"/>
    </row>
    <row r="31" spans="1:127" ht="61.15" customHeight="1" thickBot="1" x14ac:dyDescent="0.3">
      <c r="B31" s="36"/>
      <c r="C31" s="371" t="str">
        <f>BG117</f>
        <v/>
      </c>
      <c r="D31" s="371"/>
      <c r="E31" s="371"/>
      <c r="F31" s="371"/>
      <c r="G31" s="371"/>
      <c r="H31" s="371"/>
      <c r="I31" s="371"/>
      <c r="J31" s="20"/>
      <c r="K31" s="3"/>
      <c r="L31" s="1"/>
      <c r="M31" s="1"/>
      <c r="N31" s="36"/>
      <c r="O31" s="371" t="str">
        <f>BT117</f>
        <v/>
      </c>
      <c r="P31" s="371"/>
      <c r="Q31" s="371"/>
      <c r="R31" s="371"/>
      <c r="S31" s="371"/>
      <c r="T31" s="371"/>
      <c r="U31" s="371"/>
      <c r="V31" s="20"/>
      <c r="Y31" s="36"/>
      <c r="Z31" s="371" t="str">
        <f>CG117</f>
        <v/>
      </c>
      <c r="AA31" s="371"/>
      <c r="AB31" s="371"/>
      <c r="AC31" s="371"/>
      <c r="AD31" s="371"/>
      <c r="AE31" s="371"/>
      <c r="AF31" s="371"/>
      <c r="AG31" s="20"/>
      <c r="AH31" s="137"/>
      <c r="AI31" s="369"/>
      <c r="AJ31" s="369"/>
      <c r="AK31" s="369"/>
      <c r="AL31" s="369"/>
      <c r="AM31" s="369"/>
      <c r="AN31" s="369"/>
      <c r="AO31" s="369"/>
      <c r="AP31" s="369"/>
      <c r="AQ31" s="369"/>
      <c r="AR31" s="369"/>
      <c r="BB31" s="1"/>
      <c r="BC31" s="1"/>
      <c r="BD31" s="1"/>
      <c r="BE31" s="23"/>
      <c r="BG31" s="205" t="s">
        <v>213</v>
      </c>
      <c r="BH31" s="206">
        <f>S8+2*N(S10)+2*Formules!BE46+2*Formules!BE22-Formules!BH30</f>
        <v>293</v>
      </c>
      <c r="BI31" s="281"/>
      <c r="BO31" s="132"/>
      <c r="BP31" s="1"/>
      <c r="BQ31" s="1"/>
      <c r="BR31" s="23"/>
      <c r="BT31" s="1"/>
      <c r="BU31" s="1"/>
      <c r="CB31" s="132"/>
      <c r="CC31" s="1"/>
      <c r="CD31" s="1"/>
      <c r="CE31" s="23"/>
      <c r="CG31" s="1"/>
      <c r="CH31" s="1"/>
      <c r="CN31" s="132"/>
      <c r="CQ31" s="326"/>
      <c r="CR31" s="229"/>
      <c r="CS31" s="229"/>
      <c r="CT31" s="229"/>
      <c r="CU31" s="229"/>
      <c r="CV31" s="229"/>
      <c r="CW31" s="229"/>
      <c r="CX31" s="229"/>
      <c r="CY31" s="229"/>
      <c r="CZ31" s="229"/>
      <c r="DA31" s="229"/>
      <c r="DB31" s="229"/>
      <c r="DC31" s="229"/>
      <c r="DD31" s="229"/>
      <c r="DE31" s="229"/>
      <c r="DF31" s="229"/>
      <c r="DG31" s="229"/>
      <c r="DH31" s="229"/>
    </row>
    <row r="32" spans="1:127" ht="16.5" thickTop="1" thickBot="1" x14ac:dyDescent="0.3">
      <c r="B32" s="36"/>
      <c r="C32" s="1"/>
      <c r="D32" s="39"/>
      <c r="E32" s="65" t="s">
        <v>29</v>
      </c>
      <c r="F32" s="66"/>
      <c r="G32" s="67"/>
      <c r="H32" s="67"/>
      <c r="I32" s="68"/>
      <c r="J32" s="20"/>
      <c r="K32" s="22"/>
      <c r="L32" s="1"/>
      <c r="M32" s="1"/>
      <c r="N32" s="36"/>
      <c r="O32" s="1"/>
      <c r="P32" s="39"/>
      <c r="Q32" s="65" t="s">
        <v>29</v>
      </c>
      <c r="R32" s="66"/>
      <c r="S32" s="67"/>
      <c r="T32" s="67"/>
      <c r="U32" s="68"/>
      <c r="V32" s="20"/>
      <c r="Y32" s="36"/>
      <c r="Z32" s="1"/>
      <c r="AA32" s="39"/>
      <c r="AB32" s="65" t="s">
        <v>29</v>
      </c>
      <c r="AC32" s="66"/>
      <c r="AD32" s="67"/>
      <c r="AE32" s="67"/>
      <c r="AF32" s="68"/>
      <c r="AG32" s="20"/>
      <c r="AH32" s="137"/>
      <c r="AI32" s="369"/>
      <c r="AJ32" s="369"/>
      <c r="AK32" s="369"/>
      <c r="AL32" s="369"/>
      <c r="AM32" s="369"/>
      <c r="AN32" s="369"/>
      <c r="AO32" s="369"/>
      <c r="AP32" s="369"/>
      <c r="AQ32" s="369"/>
      <c r="AR32" s="369"/>
      <c r="BC32" s="122" t="s">
        <v>74</v>
      </c>
      <c r="BD32" s="122"/>
      <c r="BE32" s="75"/>
      <c r="BF32" s="75"/>
      <c r="BG32" s="75" t="s">
        <v>77</v>
      </c>
      <c r="BH32" s="75"/>
      <c r="BI32" s="75"/>
      <c r="BJ32" s="290"/>
      <c r="BK32" s="75" t="s">
        <v>112</v>
      </c>
      <c r="BL32" s="1"/>
      <c r="BO32" s="132"/>
      <c r="BP32" s="122" t="s">
        <v>74</v>
      </c>
      <c r="BQ32" s="122"/>
      <c r="BR32" s="75"/>
      <c r="BS32" s="75"/>
      <c r="BT32" s="75" t="s">
        <v>77</v>
      </c>
      <c r="BU32" s="75"/>
      <c r="BV32" s="75"/>
      <c r="BW32" s="75"/>
      <c r="BX32" s="75" t="s">
        <v>112</v>
      </c>
      <c r="BY32" s="1"/>
      <c r="CB32" s="132"/>
      <c r="CC32" s="122" t="s">
        <v>74</v>
      </c>
      <c r="CD32" s="122"/>
      <c r="CE32" s="75"/>
      <c r="CF32" s="75"/>
      <c r="CG32" s="75" t="s">
        <v>77</v>
      </c>
      <c r="CH32" s="75"/>
      <c r="CI32" s="75"/>
      <c r="CJ32" s="75" t="s">
        <v>112</v>
      </c>
      <c r="CK32" s="1"/>
      <c r="CN32" s="132"/>
      <c r="CO32" t="s">
        <v>18</v>
      </c>
      <c r="CP32" s="330">
        <f>BH27</f>
        <v>443</v>
      </c>
      <c r="CQ32" s="326"/>
      <c r="CR32" s="229"/>
      <c r="CS32" s="229"/>
      <c r="CT32" s="229"/>
      <c r="CU32" s="229"/>
      <c r="CV32" s="229"/>
      <c r="CW32" s="229"/>
      <c r="CX32" s="229"/>
      <c r="CY32" s="229"/>
      <c r="CZ32" s="229"/>
      <c r="DA32" s="229"/>
      <c r="DB32" s="229"/>
      <c r="DC32" s="229"/>
      <c r="DD32" s="229"/>
      <c r="DE32" s="229"/>
      <c r="DF32" s="229"/>
      <c r="DG32" s="229"/>
      <c r="DH32" s="229"/>
    </row>
    <row r="33" spans="2:112" ht="15.75" thickTop="1" x14ac:dyDescent="0.25">
      <c r="B33" s="36"/>
      <c r="C33" s="1"/>
      <c r="D33" s="1"/>
      <c r="E33" s="1"/>
      <c r="H33" s="11"/>
      <c r="I33" s="11"/>
      <c r="J33" s="20"/>
      <c r="K33" s="22"/>
      <c r="L33" s="183"/>
      <c r="M33" s="183"/>
      <c r="N33" s="36"/>
      <c r="O33" s="1"/>
      <c r="P33" s="1"/>
      <c r="S33" s="11"/>
      <c r="T33" s="11"/>
      <c r="U33" s="11"/>
      <c r="V33" s="20"/>
      <c r="Y33" s="36"/>
      <c r="Z33" s="1"/>
      <c r="AA33" s="1"/>
      <c r="AD33" s="11"/>
      <c r="AE33" s="11"/>
      <c r="AF33" s="11"/>
      <c r="AG33" s="20"/>
      <c r="AH33" s="137"/>
      <c r="AI33" s="369"/>
      <c r="AJ33" s="369"/>
      <c r="AK33" s="369"/>
      <c r="AL33" s="369"/>
      <c r="AM33" s="369"/>
      <c r="AN33" s="369"/>
      <c r="AO33" s="369"/>
      <c r="AP33" s="369"/>
      <c r="AQ33" s="369"/>
      <c r="AR33" s="369"/>
      <c r="BB33" s="1"/>
      <c r="BC33" s="1"/>
      <c r="BD33" s="1" t="s">
        <v>30</v>
      </c>
      <c r="BE33" s="1"/>
      <c r="BF33" s="1"/>
      <c r="BG33" s="5" t="s">
        <v>75</v>
      </c>
      <c r="BH33" s="5"/>
      <c r="BI33" s="5"/>
      <c r="BJ33" s="294"/>
      <c r="BK33" s="1" t="s">
        <v>193</v>
      </c>
      <c r="BL33" s="1"/>
      <c r="BO33" s="132"/>
      <c r="BP33" s="1"/>
      <c r="BQ33" s="1"/>
      <c r="BR33" s="1"/>
      <c r="BS33" s="1"/>
      <c r="BT33" s="5"/>
      <c r="BU33" s="5"/>
      <c r="BV33" s="5"/>
      <c r="BW33" s="5"/>
      <c r="BX33" s="1"/>
      <c r="BY33" s="1"/>
      <c r="CB33" s="132"/>
      <c r="CC33" s="1"/>
      <c r="CD33" s="1"/>
      <c r="CE33" s="1"/>
      <c r="CF33" s="1"/>
      <c r="CG33" s="5"/>
      <c r="CH33" s="5"/>
      <c r="CI33" s="5"/>
      <c r="CJ33" s="1"/>
      <c r="CK33" s="1"/>
      <c r="CN33" s="132"/>
      <c r="CO33" s="47" t="s">
        <v>310</v>
      </c>
      <c r="CP33" s="326">
        <v>0.7</v>
      </c>
      <c r="CQ33" s="326"/>
      <c r="CS33" s="229"/>
      <c r="CT33" s="229"/>
      <c r="CU33" s="230">
        <f>IF(MID(BG43,12,15)="zelfbouwcase.nl",ROUND(G36-2*BE23-1,0),"Error")</f>
        <v>582</v>
      </c>
      <c r="CV33" s="229"/>
      <c r="CW33" s="229"/>
      <c r="CX33" s="229"/>
      <c r="CY33" s="229"/>
      <c r="CZ33" s="229"/>
      <c r="DA33" s="229"/>
      <c r="DB33" s="231">
        <f>IF(MID(BG43,12,15)="zelfbouwcase.nl",ROUND($S9-BE26-BE46-BE22,0),"Corrupted")</f>
        <v>63</v>
      </c>
      <c r="DC33" s="229"/>
      <c r="DD33" s="229"/>
      <c r="DE33" s="229"/>
      <c r="DF33" s="229"/>
      <c r="DG33" s="229"/>
      <c r="DH33" s="229"/>
    </row>
    <row r="34" spans="2:112" x14ac:dyDescent="0.25">
      <c r="B34" s="36"/>
      <c r="C34" s="1"/>
      <c r="D34" s="1"/>
      <c r="E34" s="83" t="str">
        <f>HYPERLINK(BG46,BK46)</f>
        <v>9mm berken met 1mm HPL</v>
      </c>
      <c r="F34" s="190"/>
      <c r="G34" s="190"/>
      <c r="H34" s="190"/>
      <c r="I34" s="190"/>
      <c r="J34" s="20"/>
      <c r="K34" s="22"/>
      <c r="L34" s="1"/>
      <c r="N34" s="36"/>
      <c r="O34" s="1"/>
      <c r="Q34" s="83" t="str">
        <f>HYPERLINK(BT42,BX42)</f>
        <v>9mm berken met 1mm HPL</v>
      </c>
      <c r="R34" s="190"/>
      <c r="S34" s="190"/>
      <c r="T34" s="190"/>
      <c r="U34" s="190"/>
      <c r="V34" s="20"/>
      <c r="Y34" s="36"/>
      <c r="Z34" s="1"/>
      <c r="AB34" s="83" t="str">
        <f>HYPERLINK(CG42,CJ42)</f>
        <v>9mm betonplex</v>
      </c>
      <c r="AC34" s="190"/>
      <c r="AD34" s="190"/>
      <c r="AE34" s="190"/>
      <c r="AF34" s="190"/>
      <c r="AG34" s="20"/>
      <c r="AH34" s="137"/>
      <c r="AI34" s="369"/>
      <c r="AJ34" s="369"/>
      <c r="AK34" s="369"/>
      <c r="AL34" s="369"/>
      <c r="AM34" s="369"/>
      <c r="AN34" s="369"/>
      <c r="AO34" s="369"/>
      <c r="AP34" s="369"/>
      <c r="AQ34" s="369"/>
      <c r="AR34" s="369"/>
      <c r="AS34" s="6"/>
      <c r="AT34" s="6"/>
      <c r="AU34" s="6"/>
      <c r="AV34" s="6"/>
      <c r="AW34" s="6"/>
      <c r="AX34" s="6"/>
      <c r="AY34" s="6"/>
      <c r="BB34" s="1"/>
      <c r="BC34" s="1"/>
      <c r="BD34" s="1" t="s">
        <v>10</v>
      </c>
      <c r="BE34" s="1"/>
      <c r="BF34" s="1"/>
      <c r="BG34" s="5" t="s">
        <v>76</v>
      </c>
      <c r="BH34" s="5"/>
      <c r="BI34" s="5"/>
      <c r="BJ34" s="294"/>
      <c r="BK34" s="1" t="s">
        <v>95</v>
      </c>
      <c r="BL34" s="1"/>
      <c r="BO34" s="132"/>
      <c r="BP34" s="1"/>
      <c r="BQ34" s="1" t="s">
        <v>10</v>
      </c>
      <c r="BR34" s="1"/>
      <c r="BS34" s="1"/>
      <c r="BT34" s="5" t="s">
        <v>76</v>
      </c>
      <c r="BU34" s="5"/>
      <c r="BV34" s="5"/>
      <c r="BW34" s="5"/>
      <c r="BX34" s="1" t="s">
        <v>95</v>
      </c>
      <c r="BY34" s="1"/>
      <c r="CB34" s="132"/>
      <c r="CC34" s="1"/>
      <c r="CD34" s="1" t="s">
        <v>10</v>
      </c>
      <c r="CE34" s="1"/>
      <c r="CF34" s="1"/>
      <c r="CG34" s="5" t="s">
        <v>76</v>
      </c>
      <c r="CH34" s="5"/>
      <c r="CI34" s="5"/>
      <c r="CJ34" s="1" t="s">
        <v>95</v>
      </c>
      <c r="CK34" s="1"/>
      <c r="CN34" s="132"/>
      <c r="CO34" s="325" t="s">
        <v>311</v>
      </c>
      <c r="CP34" s="326"/>
      <c r="CQ34" s="326"/>
      <c r="CR34" s="229"/>
      <c r="CS34" s="229"/>
      <c r="CT34" s="229"/>
      <c r="CU34" s="229"/>
      <c r="CV34" s="229"/>
      <c r="CW34" s="229"/>
      <c r="CX34" s="229"/>
      <c r="CY34" s="230">
        <f>IF(MID(BG37,12,15)="zelfbouwcase.nl",ROUND(G37+2*BE46-2*BE23-1,0),"Incorrect")</f>
        <v>382</v>
      </c>
      <c r="CZ34" s="229"/>
      <c r="DA34" s="229"/>
      <c r="DB34" s="229"/>
      <c r="DC34" s="229"/>
      <c r="DD34" s="229"/>
      <c r="DE34" s="229"/>
      <c r="DF34" s="229"/>
      <c r="DG34" s="229"/>
      <c r="DH34" s="229"/>
    </row>
    <row r="35" spans="2:112" x14ac:dyDescent="0.25">
      <c r="B35" s="36"/>
      <c r="C35" s="1"/>
      <c r="D35" s="1"/>
      <c r="E35" s="42" t="s">
        <v>31</v>
      </c>
      <c r="F35" s="42" t="s">
        <v>32</v>
      </c>
      <c r="G35" s="42" t="s">
        <v>7</v>
      </c>
      <c r="H35" s="42"/>
      <c r="I35" s="47" t="s">
        <v>18</v>
      </c>
      <c r="J35" s="20"/>
      <c r="K35" s="22"/>
      <c r="L35" s="1"/>
      <c r="M35" s="1"/>
      <c r="N35" s="36"/>
      <c r="O35" s="1"/>
      <c r="Q35" s="42" t="s">
        <v>31</v>
      </c>
      <c r="R35" s="42" t="s">
        <v>32</v>
      </c>
      <c r="S35" s="42" t="s">
        <v>7</v>
      </c>
      <c r="T35" s="42"/>
      <c r="U35" s="47" t="s">
        <v>18</v>
      </c>
      <c r="V35" s="20"/>
      <c r="Y35" s="36"/>
      <c r="Z35" s="1"/>
      <c r="AB35" s="42" t="s">
        <v>31</v>
      </c>
      <c r="AC35" s="42" t="s">
        <v>32</v>
      </c>
      <c r="AD35" s="42" t="s">
        <v>7</v>
      </c>
      <c r="AE35" s="42"/>
      <c r="AF35" s="47" t="s">
        <v>18</v>
      </c>
      <c r="AG35" s="20"/>
      <c r="AH35" s="137"/>
      <c r="AI35" s="369"/>
      <c r="AJ35" s="369"/>
      <c r="AK35" s="369"/>
      <c r="AL35" s="369"/>
      <c r="AM35" s="369"/>
      <c r="AN35" s="369"/>
      <c r="AO35" s="369"/>
      <c r="AP35" s="369"/>
      <c r="AQ35" s="369"/>
      <c r="AR35" s="369"/>
      <c r="AS35" s="6"/>
      <c r="AT35" s="6"/>
      <c r="AU35" s="6"/>
      <c r="AV35" s="6"/>
      <c r="AW35" s="6"/>
      <c r="AX35" s="6"/>
      <c r="AY35" s="6"/>
      <c r="BB35" s="1"/>
      <c r="BC35" s="1"/>
      <c r="BD35" s="1" t="s">
        <v>70</v>
      </c>
      <c r="BE35" s="1"/>
      <c r="BF35" s="1"/>
      <c r="BG35" s="5" t="s">
        <v>56</v>
      </c>
      <c r="BH35" s="5"/>
      <c r="BI35" s="5"/>
      <c r="BJ35" s="294"/>
      <c r="BK35" s="1" t="s">
        <v>94</v>
      </c>
      <c r="BL35" s="1"/>
      <c r="BO35" s="132"/>
      <c r="BP35" s="1"/>
      <c r="BQ35" s="1" t="s">
        <v>70</v>
      </c>
      <c r="BR35" s="1"/>
      <c r="BS35" s="1"/>
      <c r="BT35" s="5" t="s">
        <v>56</v>
      </c>
      <c r="BU35" s="5"/>
      <c r="BV35" s="5"/>
      <c r="BW35" s="5"/>
      <c r="BX35" s="1" t="s">
        <v>94</v>
      </c>
      <c r="BY35" s="1"/>
      <c r="CB35" s="132"/>
      <c r="CC35" s="1"/>
      <c r="CD35" s="1" t="s">
        <v>70</v>
      </c>
      <c r="CE35" s="1"/>
      <c r="CF35" s="1"/>
      <c r="CG35" s="5" t="s">
        <v>56</v>
      </c>
      <c r="CH35" s="5"/>
      <c r="CI35" s="5"/>
      <c r="CJ35" s="1" t="s">
        <v>94</v>
      </c>
      <c r="CK35" s="1"/>
      <c r="CN35" s="132"/>
      <c r="CO35" s="325" t="s">
        <v>72</v>
      </c>
      <c r="CP35" s="326">
        <f>BH28/BH27*CP33</f>
        <v>0.54198645598194128</v>
      </c>
      <c r="CQ35" s="326"/>
      <c r="CR35" s="229"/>
      <c r="CS35" s="229"/>
      <c r="CT35" s="229"/>
      <c r="CU35" s="229"/>
      <c r="CV35" s="229"/>
      <c r="CW35" s="229"/>
      <c r="CX35" s="229"/>
      <c r="CY35" s="229"/>
      <c r="CZ35" s="229"/>
      <c r="DA35" s="229"/>
      <c r="DB35" s="229"/>
      <c r="DC35" s="229"/>
      <c r="DD35" s="229"/>
      <c r="DE35" s="229"/>
      <c r="DF35" s="229"/>
      <c r="DG35" s="229"/>
      <c r="DH35" s="229"/>
    </row>
    <row r="36" spans="2:112" x14ac:dyDescent="0.25">
      <c r="B36" s="36"/>
      <c r="C36" s="1"/>
      <c r="D36" s="1"/>
      <c r="E36" s="129" t="s">
        <v>196</v>
      </c>
      <c r="F36" s="53">
        <v>2</v>
      </c>
      <c r="G36" s="157">
        <f>$S6+2*$BE46+2*N($S10)</f>
        <v>640</v>
      </c>
      <c r="H36" s="170" t="s">
        <v>2</v>
      </c>
      <c r="I36" s="171">
        <f>IF(MID(BG34,12,15)="zelfbouwcase.nl",G37+2*BE46,"invalid version")</f>
        <v>440</v>
      </c>
      <c r="J36" s="20"/>
      <c r="K36" s="22"/>
      <c r="L36" s="1"/>
      <c r="M36" s="1"/>
      <c r="N36" s="36"/>
      <c r="O36" s="1"/>
      <c r="Q36" s="129" t="s">
        <v>196</v>
      </c>
      <c r="R36" s="53">
        <v>2</v>
      </c>
      <c r="S36" s="157">
        <f>$S6+2*$BR42+2*N($S10)</f>
        <v>640</v>
      </c>
      <c r="T36" s="170" t="s">
        <v>2</v>
      </c>
      <c r="U36" s="171">
        <f>IF(MID(BG34,12,15)="zelfbouwcase.nl",S37+2*BR42,"Update sheet svp")</f>
        <v>440</v>
      </c>
      <c r="V36" s="20"/>
      <c r="Y36" s="36"/>
      <c r="Z36" s="1"/>
      <c r="AB36" s="129" t="s">
        <v>168</v>
      </c>
      <c r="AC36" s="53">
        <v>1</v>
      </c>
      <c r="AD36" s="157">
        <f>AD39</f>
        <v>638</v>
      </c>
      <c r="AE36" s="170" t="s">
        <v>2</v>
      </c>
      <c r="AF36" s="171">
        <f>AD38+2*CE42</f>
        <v>438</v>
      </c>
      <c r="AG36" s="20"/>
      <c r="AH36" s="137"/>
      <c r="AI36" s="369"/>
      <c r="AJ36" s="369"/>
      <c r="AK36" s="369"/>
      <c r="AL36" s="369"/>
      <c r="AM36" s="369"/>
      <c r="AN36" s="369"/>
      <c r="AO36" s="369"/>
      <c r="AP36" s="369"/>
      <c r="AQ36" s="369"/>
      <c r="AR36" s="369"/>
      <c r="AS36" s="6"/>
      <c r="AT36" s="6"/>
      <c r="AU36" s="6"/>
      <c r="AV36" s="6"/>
      <c r="AW36" s="6"/>
      <c r="AX36" s="6"/>
      <c r="AY36" s="6"/>
      <c r="BC36" s="1"/>
      <c r="BD36" s="1"/>
      <c r="BE36" s="1"/>
      <c r="BF36" s="1"/>
      <c r="BG36" s="1"/>
      <c r="BH36" s="1"/>
      <c r="BI36" s="1"/>
      <c r="BJ36" s="294"/>
      <c r="BK36" s="1"/>
      <c r="BL36" s="1"/>
      <c r="BO36" s="132"/>
      <c r="BP36" s="1"/>
      <c r="BQ36" s="1"/>
      <c r="BR36" s="1"/>
      <c r="BS36" s="1"/>
      <c r="BT36" s="1"/>
      <c r="BU36" s="1"/>
      <c r="BV36" s="1"/>
      <c r="BW36" s="1"/>
      <c r="BX36" s="1"/>
      <c r="BY36" s="1"/>
      <c r="CB36" s="132"/>
      <c r="CC36" s="1"/>
      <c r="CD36" s="1"/>
      <c r="CE36" s="1"/>
      <c r="CF36" s="1"/>
      <c r="CG36" s="1"/>
      <c r="CH36" s="1"/>
      <c r="CI36" s="1"/>
      <c r="CJ36" s="1"/>
      <c r="CK36" s="1"/>
      <c r="CN36" s="132"/>
      <c r="CO36" s="325" t="s">
        <v>312</v>
      </c>
      <c r="CP36" s="326">
        <f>IF(CP35&gt;1,1/CP35,1)</f>
        <v>1</v>
      </c>
      <c r="CQ36" s="229"/>
      <c r="CR36" s="229"/>
      <c r="CS36" s="229"/>
      <c r="CT36" s="229"/>
      <c r="CU36" s="229"/>
      <c r="CV36" s="232">
        <f>IF(MID(BG66,12,15)="zelfbouwcase.nl",IF(BE120&lt;15,"vervalt",BE120),"Don't use")</f>
        <v>27</v>
      </c>
      <c r="CW36" s="229"/>
      <c r="CX36" s="229"/>
      <c r="CY36" s="229"/>
      <c r="CZ36" s="229"/>
      <c r="DA36" s="229"/>
      <c r="DB36" s="229"/>
      <c r="DC36" s="229"/>
      <c r="DD36" s="229"/>
      <c r="DE36" s="229"/>
      <c r="DF36" s="229"/>
      <c r="DG36" s="229"/>
      <c r="DH36" s="229"/>
    </row>
    <row r="37" spans="2:112" x14ac:dyDescent="0.25">
      <c r="B37" s="36"/>
      <c r="C37" s="1"/>
      <c r="D37" s="1"/>
      <c r="E37" s="129" t="s">
        <v>122</v>
      </c>
      <c r="F37" s="53">
        <v>2</v>
      </c>
      <c r="G37" s="157">
        <f>$S7+2*N($S10)</f>
        <v>420</v>
      </c>
      <c r="H37" s="170" t="s">
        <v>2</v>
      </c>
      <c r="I37" s="200">
        <f>DB33</f>
        <v>63</v>
      </c>
      <c r="J37" s="20"/>
      <c r="K37" s="22"/>
      <c r="L37" s="1"/>
      <c r="M37" s="1"/>
      <c r="N37" s="36"/>
      <c r="O37" s="1"/>
      <c r="Q37" s="129" t="s">
        <v>122</v>
      </c>
      <c r="R37" s="53">
        <v>2</v>
      </c>
      <c r="S37" s="157">
        <f>$S7+2*N($S10)</f>
        <v>420</v>
      </c>
      <c r="T37" s="170" t="s">
        <v>2</v>
      </c>
      <c r="U37" s="171">
        <f>ROUND($S9-BR26-BR42-BR22,0)</f>
        <v>62</v>
      </c>
      <c r="V37" s="20"/>
      <c r="Y37" s="36"/>
      <c r="Z37" s="1"/>
      <c r="AB37" s="129" t="s">
        <v>169</v>
      </c>
      <c r="AC37" s="53">
        <v>1</v>
      </c>
      <c r="AD37" s="157">
        <f>S6-9+2*N($S10)</f>
        <v>611</v>
      </c>
      <c r="AE37" s="170" t="s">
        <v>2</v>
      </c>
      <c r="AF37" s="171">
        <f>S7-9+2*N($S10)</f>
        <v>411</v>
      </c>
      <c r="AG37" s="20"/>
      <c r="AH37" s="137"/>
      <c r="AI37" s="369"/>
      <c r="AJ37" s="369"/>
      <c r="AK37" s="369"/>
      <c r="AL37" s="369"/>
      <c r="AM37" s="369"/>
      <c r="AN37" s="369"/>
      <c r="AO37" s="369"/>
      <c r="AP37" s="369"/>
      <c r="AQ37" s="369"/>
      <c r="AR37" s="369"/>
      <c r="BC37" s="122" t="s">
        <v>6</v>
      </c>
      <c r="BD37" s="122"/>
      <c r="BE37" s="120"/>
      <c r="BF37" s="120"/>
      <c r="BG37" s="5" t="s">
        <v>249</v>
      </c>
      <c r="BH37" s="121"/>
      <c r="BI37" s="121"/>
      <c r="BJ37" s="294">
        <v>711</v>
      </c>
      <c r="BK37" s="120" t="s">
        <v>69</v>
      </c>
      <c r="BL37" s="120"/>
      <c r="BO37" s="132"/>
      <c r="BP37" s="122" t="s">
        <v>6</v>
      </c>
      <c r="BQ37" s="122"/>
      <c r="BR37" s="120"/>
      <c r="BS37" s="120"/>
      <c r="BT37" s="5" t="s">
        <v>158</v>
      </c>
      <c r="BU37" s="121"/>
      <c r="BV37" s="121"/>
      <c r="BW37" s="121"/>
      <c r="BX37" s="120" t="s">
        <v>157</v>
      </c>
      <c r="BY37" s="120"/>
      <c r="CB37" s="132"/>
      <c r="CC37" s="122" t="s">
        <v>6</v>
      </c>
      <c r="CD37" s="122"/>
      <c r="CE37" s="120"/>
      <c r="CF37" s="120"/>
      <c r="CG37" s="121" t="str">
        <f>BG37</f>
        <v>http://www.zelfbouwcase.nl/0100-30-30-1-5mm-hoekprofiel-gezaagd.html</v>
      </c>
      <c r="CH37" s="121"/>
      <c r="CI37" s="121"/>
      <c r="CJ37" s="120" t="str">
        <f>BK37</f>
        <v>Hoekprofiel 30*30*1,5mm</v>
      </c>
      <c r="CK37" s="120"/>
      <c r="CN37" s="132"/>
      <c r="CP37" s="326"/>
      <c r="CQ37" s="229"/>
      <c r="CR37" s="229"/>
      <c r="CS37" s="229"/>
      <c r="CT37" s="229"/>
      <c r="CU37" s="229"/>
      <c r="CV37" s="229"/>
      <c r="CW37" s="229"/>
      <c r="CX37" s="229"/>
      <c r="CY37" s="229"/>
      <c r="CZ37" s="229"/>
      <c r="DA37" s="230">
        <f>IF(MID(BG51,12,15)="zelfbouwcase.nl",IF(BE121&lt;15,"vervalt",BE121),"Corrupted")</f>
        <v>211</v>
      </c>
      <c r="DB37" s="229"/>
      <c r="DC37" s="229"/>
      <c r="DD37" s="229"/>
      <c r="DE37" s="229"/>
      <c r="DF37" s="229"/>
      <c r="DG37" s="229"/>
      <c r="DH37" s="229"/>
    </row>
    <row r="38" spans="2:112" x14ac:dyDescent="0.25">
      <c r="B38" s="36"/>
      <c r="C38" s="1"/>
      <c r="D38" s="1"/>
      <c r="E38" s="129" t="s">
        <v>123</v>
      </c>
      <c r="F38" s="53">
        <v>2</v>
      </c>
      <c r="G38" s="157">
        <f>G36</f>
        <v>640</v>
      </c>
      <c r="H38" s="170" t="s">
        <v>2</v>
      </c>
      <c r="I38" s="171">
        <f>DB33</f>
        <v>63</v>
      </c>
      <c r="J38" s="20"/>
      <c r="K38" s="22"/>
      <c r="L38" s="191"/>
      <c r="M38" s="1"/>
      <c r="N38" s="36"/>
      <c r="O38" s="1"/>
      <c r="Q38" s="129" t="s">
        <v>123</v>
      </c>
      <c r="R38" s="53">
        <v>2</v>
      </c>
      <c r="S38" s="157">
        <f>S36</f>
        <v>640</v>
      </c>
      <c r="T38" s="170" t="s">
        <v>2</v>
      </c>
      <c r="U38" s="171">
        <f>U37</f>
        <v>62</v>
      </c>
      <c r="V38" s="20"/>
      <c r="Y38" s="36"/>
      <c r="Z38" s="1"/>
      <c r="AB38" s="129" t="s">
        <v>165</v>
      </c>
      <c r="AC38" s="53">
        <v>2</v>
      </c>
      <c r="AD38" s="157">
        <f>$S7+2*N($S10)</f>
        <v>420</v>
      </c>
      <c r="AE38" s="170" t="s">
        <v>2</v>
      </c>
      <c r="AF38" s="171">
        <f>S8+9+N(S10)</f>
        <v>319</v>
      </c>
      <c r="AG38" s="20"/>
      <c r="AH38" s="137"/>
      <c r="AI38" s="369"/>
      <c r="AJ38" s="369"/>
      <c r="AK38" s="369"/>
      <c r="AL38" s="369"/>
      <c r="AM38" s="369"/>
      <c r="AN38" s="369"/>
      <c r="AO38" s="369"/>
      <c r="AP38" s="369"/>
      <c r="AQ38" s="369"/>
      <c r="AR38" s="369"/>
      <c r="BC38" s="1"/>
      <c r="BD38" s="1"/>
      <c r="BE38" s="1"/>
      <c r="BF38" s="1"/>
      <c r="BG38" s="1"/>
      <c r="BH38" s="1"/>
      <c r="BI38" s="1"/>
      <c r="BJ38" s="294"/>
      <c r="BK38" s="1"/>
      <c r="BL38" s="1"/>
      <c r="BO38" s="132"/>
      <c r="BP38" s="1"/>
      <c r="BQ38" s="1"/>
      <c r="BR38" s="1"/>
      <c r="BS38" s="1"/>
      <c r="BT38" s="1"/>
      <c r="BU38" s="1"/>
      <c r="BV38" s="1"/>
      <c r="BW38" s="1"/>
      <c r="BX38" s="1"/>
      <c r="BY38" s="1"/>
      <c r="CB38" s="132"/>
      <c r="CC38" s="1"/>
      <c r="CD38" s="1"/>
      <c r="CE38" s="1"/>
      <c r="CF38" s="1"/>
      <c r="CG38" s="1"/>
      <c r="CH38" s="1"/>
      <c r="CI38" s="1"/>
      <c r="CJ38" s="1"/>
      <c r="CK38" s="1"/>
      <c r="CN38" s="132"/>
      <c r="CO38" s="325" t="s">
        <v>313</v>
      </c>
      <c r="CP38" s="326">
        <f>BH26/BH27</f>
        <v>1.4514672686230248</v>
      </c>
      <c r="CQ38" s="229"/>
      <c r="CR38" s="229"/>
      <c r="CS38" s="229"/>
      <c r="CT38" s="229"/>
      <c r="CU38" s="229"/>
      <c r="CV38" s="229"/>
      <c r="CW38" s="229"/>
      <c r="CX38" s="229"/>
      <c r="CY38" s="229"/>
      <c r="CZ38" s="229"/>
      <c r="DA38" s="229"/>
      <c r="DB38" s="229"/>
      <c r="DC38" s="229"/>
      <c r="DD38" s="229"/>
      <c r="DE38" s="229"/>
      <c r="DF38" s="229"/>
      <c r="DG38" s="229"/>
      <c r="DH38" s="229"/>
    </row>
    <row r="39" spans="2:112" x14ac:dyDescent="0.25">
      <c r="B39" s="36"/>
      <c r="C39" s="1"/>
      <c r="D39" s="1"/>
      <c r="E39" s="129" t="s">
        <v>124</v>
      </c>
      <c r="F39" s="53">
        <v>2</v>
      </c>
      <c r="G39" s="157">
        <f>G37</f>
        <v>420</v>
      </c>
      <c r="H39" s="170" t="s">
        <v>2</v>
      </c>
      <c r="I39" s="171">
        <f>$S8+2*N(S10)-I37-BE27-BE26</f>
        <v>249</v>
      </c>
      <c r="J39" s="20"/>
      <c r="K39" s="22"/>
      <c r="L39" s="1"/>
      <c r="M39" s="1"/>
      <c r="N39" s="36"/>
      <c r="O39" s="1"/>
      <c r="Q39" s="129" t="s">
        <v>124</v>
      </c>
      <c r="R39" s="53">
        <v>2</v>
      </c>
      <c r="S39" s="157">
        <f>S37</f>
        <v>420</v>
      </c>
      <c r="T39" s="170" t="s">
        <v>2</v>
      </c>
      <c r="U39" s="171">
        <f>$S8+2*N(S10)-U37-BR27-BR26</f>
        <v>250</v>
      </c>
      <c r="V39" s="20"/>
      <c r="Y39" s="36"/>
      <c r="Z39" s="1"/>
      <c r="AB39" s="129" t="s">
        <v>166</v>
      </c>
      <c r="AC39" s="53">
        <v>2</v>
      </c>
      <c r="AD39" s="157">
        <f>$S6+2*$CE42+2*N($S10)</f>
        <v>638</v>
      </c>
      <c r="AE39" s="170" t="s">
        <v>2</v>
      </c>
      <c r="AF39" s="171">
        <f>AF38</f>
        <v>319</v>
      </c>
      <c r="AG39" s="20"/>
      <c r="AH39" s="137"/>
      <c r="BC39" s="122" t="s">
        <v>9</v>
      </c>
      <c r="BD39" s="122"/>
      <c r="BE39" s="1">
        <v>9</v>
      </c>
      <c r="BF39" s="1"/>
      <c r="BG39" s="5" t="s">
        <v>250</v>
      </c>
      <c r="BH39" s="5"/>
      <c r="BI39" s="5"/>
      <c r="BJ39" s="294">
        <v>111</v>
      </c>
      <c r="BK39" s="1" t="s">
        <v>96</v>
      </c>
      <c r="BL39" s="1"/>
      <c r="BO39" s="132"/>
      <c r="BP39" s="122" t="s">
        <v>9</v>
      </c>
      <c r="BQ39" s="122"/>
      <c r="BR39" s="1">
        <v>10</v>
      </c>
      <c r="BS39" s="1"/>
      <c r="BT39" s="5" t="s">
        <v>159</v>
      </c>
      <c r="BU39" s="5"/>
      <c r="BV39" s="5"/>
      <c r="BW39" s="5"/>
      <c r="BX39" s="1" t="s">
        <v>197</v>
      </c>
      <c r="BY39" s="1"/>
      <c r="CB39" s="132"/>
      <c r="CC39" s="122" t="s">
        <v>9</v>
      </c>
      <c r="CD39" s="122"/>
      <c r="CE39" s="1">
        <v>9</v>
      </c>
      <c r="CF39" s="1"/>
      <c r="CG39" s="5" t="s">
        <v>164</v>
      </c>
      <c r="CH39" s="5"/>
      <c r="CI39" s="5"/>
      <c r="CJ39" s="1" t="s">
        <v>176</v>
      </c>
      <c r="CK39" s="1"/>
      <c r="CN39" s="132"/>
      <c r="CO39" s="325" t="s">
        <v>314</v>
      </c>
      <c r="CP39" s="326">
        <f>IF(CP38&lt;3,1,3/CP38)</f>
        <v>1</v>
      </c>
      <c r="CQ39" s="229"/>
      <c r="CR39" s="229"/>
      <c r="CS39" s="229"/>
      <c r="CT39" s="229"/>
      <c r="CU39" s="229"/>
      <c r="CV39" s="229"/>
      <c r="CW39" s="229"/>
      <c r="CX39" s="229"/>
      <c r="CY39" s="229"/>
      <c r="CZ39" s="229"/>
      <c r="DA39" s="229"/>
      <c r="DB39" s="229"/>
      <c r="DC39" s="229"/>
      <c r="DD39" s="229"/>
      <c r="DE39" s="229"/>
      <c r="DF39" s="229"/>
      <c r="DG39" s="229"/>
      <c r="DH39" s="229"/>
    </row>
    <row r="40" spans="2:112" x14ac:dyDescent="0.25">
      <c r="B40" s="36"/>
      <c r="C40" s="1"/>
      <c r="D40" s="1"/>
      <c r="E40" s="129" t="s">
        <v>125</v>
      </c>
      <c r="F40" s="53">
        <v>2</v>
      </c>
      <c r="G40" s="157">
        <f>G36</f>
        <v>640</v>
      </c>
      <c r="H40" s="170" t="s">
        <v>2</v>
      </c>
      <c r="I40" s="171">
        <f>I39</f>
        <v>249</v>
      </c>
      <c r="J40" s="20"/>
      <c r="K40" s="22"/>
      <c r="L40" s="1"/>
      <c r="M40" s="1"/>
      <c r="N40" s="36"/>
      <c r="O40" s="1"/>
      <c r="Q40" s="129" t="s">
        <v>125</v>
      </c>
      <c r="R40" s="53">
        <v>2</v>
      </c>
      <c r="S40" s="157">
        <f>S36</f>
        <v>640</v>
      </c>
      <c r="T40" s="170" t="s">
        <v>2</v>
      </c>
      <c r="U40" s="171">
        <f>U39</f>
        <v>250</v>
      </c>
      <c r="V40" s="20"/>
      <c r="Y40" s="36"/>
      <c r="Z40" s="1"/>
      <c r="AD40" s="172"/>
      <c r="AE40" s="172"/>
      <c r="AF40" s="172"/>
      <c r="AG40" s="20"/>
      <c r="AH40" s="137"/>
      <c r="BC40" s="1"/>
      <c r="BD40" s="1"/>
      <c r="BE40" s="1">
        <v>10</v>
      </c>
      <c r="BF40" s="1"/>
      <c r="BG40" s="5" t="s">
        <v>251</v>
      </c>
      <c r="BH40" s="5"/>
      <c r="BI40" s="5"/>
      <c r="BJ40" s="294">
        <v>114</v>
      </c>
      <c r="BK40" s="1" t="s">
        <v>97</v>
      </c>
      <c r="BL40" s="1"/>
      <c r="BO40" s="132"/>
      <c r="BP40" s="1"/>
      <c r="BQ40" s="1"/>
      <c r="BY40" s="1"/>
      <c r="CB40" s="132"/>
      <c r="CC40" s="1"/>
      <c r="CD40" s="1"/>
      <c r="CK40" s="1"/>
      <c r="CN40" s="132"/>
      <c r="CO40" s="331"/>
      <c r="CP40" s="365" t="str">
        <f>IF(OR(CP36&lt;&gt;1,CP39&lt;&gt;1),"Let op: Schaling wijkt af!","")</f>
        <v/>
      </c>
      <c r="CQ40" s="366"/>
      <c r="CR40" s="366"/>
      <c r="CS40" s="366"/>
      <c r="CT40" s="367"/>
      <c r="CU40" s="229"/>
      <c r="CV40" s="229"/>
      <c r="CW40" s="229"/>
      <c r="CX40" s="229"/>
      <c r="CY40" s="229"/>
      <c r="CZ40" s="229"/>
      <c r="DA40" s="229"/>
      <c r="DB40" s="229"/>
      <c r="DC40" s="229"/>
      <c r="DD40" s="229"/>
      <c r="DE40" s="229"/>
      <c r="DF40" s="229"/>
      <c r="DG40" s="229"/>
      <c r="DH40" s="229"/>
    </row>
    <row r="41" spans="2:112" x14ac:dyDescent="0.25">
      <c r="B41" s="36"/>
      <c r="C41" s="1"/>
      <c r="D41" s="1"/>
      <c r="J41" s="20"/>
      <c r="K41" s="22"/>
      <c r="L41" s="191"/>
      <c r="M41" s="1"/>
      <c r="N41" s="36"/>
      <c r="O41" s="1"/>
      <c r="V41" s="20"/>
      <c r="Y41" s="36"/>
      <c r="Z41" s="1"/>
      <c r="AD41" s="172"/>
      <c r="AE41" s="172"/>
      <c r="AF41" s="172"/>
      <c r="AG41" s="20"/>
      <c r="AH41" s="137"/>
      <c r="AI41" s="6">
        <f>IF(ISNUMBER(#REF!),4*MAX(2,ROUND((#REF!/50),0)),0)</f>
        <v>0</v>
      </c>
      <c r="AJ41" s="6"/>
      <c r="AK41" s="6"/>
      <c r="AL41" s="6"/>
      <c r="AM41" s="6"/>
      <c r="AN41" s="6"/>
      <c r="AO41" s="6"/>
      <c r="AP41" s="6"/>
      <c r="AQ41" s="6"/>
      <c r="AR41" s="6"/>
      <c r="AS41" s="6"/>
      <c r="AT41" s="6"/>
      <c r="AU41" s="6"/>
      <c r="AV41" s="6"/>
      <c r="AW41" s="6"/>
      <c r="AX41" s="6"/>
      <c r="AY41" s="6"/>
      <c r="BC41" s="1"/>
      <c r="BD41" s="1"/>
      <c r="BE41" s="1"/>
      <c r="BF41" s="1"/>
      <c r="BG41" s="1"/>
      <c r="BH41" s="1"/>
      <c r="BI41" s="1"/>
      <c r="BJ41" s="294"/>
      <c r="BK41" s="1"/>
      <c r="BL41" s="1"/>
      <c r="BO41" s="132"/>
      <c r="BP41" s="1"/>
      <c r="BQ41" s="1"/>
      <c r="BR41" s="1"/>
      <c r="BS41" s="1"/>
      <c r="BT41" s="1"/>
      <c r="BU41" s="1"/>
      <c r="BV41" s="1"/>
      <c r="BW41" s="1"/>
      <c r="BX41" s="1"/>
      <c r="BY41" s="1"/>
      <c r="CB41" s="132"/>
      <c r="CC41" s="1"/>
      <c r="CD41" s="1"/>
      <c r="CE41" s="1"/>
      <c r="CF41" s="1"/>
      <c r="CG41" s="1"/>
      <c r="CH41" s="1"/>
      <c r="CI41" s="1"/>
      <c r="CJ41" s="1"/>
      <c r="CK41" s="1"/>
      <c r="CN41" s="132"/>
      <c r="CP41" s="328" t="s">
        <v>315</v>
      </c>
      <c r="CQ41" s="229"/>
      <c r="CR41" s="229"/>
      <c r="CS41" s="229"/>
      <c r="CT41" s="229"/>
      <c r="CU41" s="229"/>
      <c r="CV41" s="229"/>
      <c r="CW41" s="229"/>
      <c r="CX41" s="229"/>
      <c r="CY41" s="229"/>
      <c r="CZ41" s="229"/>
      <c r="DA41" s="229"/>
      <c r="DB41" s="229"/>
      <c r="DC41" s="229"/>
      <c r="DD41" s="229"/>
      <c r="DE41" s="229"/>
      <c r="DF41" s="229"/>
      <c r="DG41" s="229"/>
      <c r="DH41" s="229"/>
    </row>
    <row r="42" spans="2:112" x14ac:dyDescent="0.25">
      <c r="B42" s="36"/>
      <c r="C42" s="1"/>
      <c r="D42" s="1"/>
      <c r="E42" s="83" t="str">
        <f>HYPERLINK(BG37,BK37)</f>
        <v>Hoekprofiel 30*30*1,5mm</v>
      </c>
      <c r="F42" s="38"/>
      <c r="G42" s="38"/>
      <c r="H42" s="38"/>
      <c r="I42" s="38"/>
      <c r="J42" s="20"/>
      <c r="K42" s="22"/>
      <c r="L42" s="1"/>
      <c r="M42" s="1"/>
      <c r="N42" s="36"/>
      <c r="O42" s="1"/>
      <c r="Q42" s="83" t="str">
        <f>HYPERLINK(BT37,BX37)</f>
        <v>Hoekprofiel 30*30*2,0mm</v>
      </c>
      <c r="R42" s="38"/>
      <c r="S42" s="144"/>
      <c r="T42" s="144"/>
      <c r="U42" s="144"/>
      <c r="V42" s="20"/>
      <c r="Y42" s="36"/>
      <c r="Z42" s="1"/>
      <c r="AB42" s="83" t="str">
        <f>HYPERLINK(CG37,CJ37)</f>
        <v>Hoekprofiel 30*30*1,5mm</v>
      </c>
      <c r="AC42" s="38"/>
      <c r="AD42" s="173"/>
      <c r="AE42" s="173"/>
      <c r="AF42" s="173"/>
      <c r="AG42" s="20"/>
      <c r="AH42" s="137"/>
      <c r="BC42" s="122" t="s">
        <v>111</v>
      </c>
      <c r="BD42" s="122"/>
      <c r="BE42" s="159" t="s">
        <v>19</v>
      </c>
      <c r="BF42" s="75"/>
      <c r="BG42" s="42" t="s">
        <v>48</v>
      </c>
      <c r="BH42" s="75"/>
      <c r="BI42" s="75"/>
      <c r="BJ42" s="294"/>
      <c r="BK42" s="75" t="s">
        <v>112</v>
      </c>
      <c r="BL42" s="75"/>
      <c r="BO42" s="132"/>
      <c r="BP42" s="122" t="s">
        <v>111</v>
      </c>
      <c r="BQ42" s="122"/>
      <c r="BR42" s="1">
        <v>10</v>
      </c>
      <c r="BS42" s="1"/>
      <c r="BT42" s="5" t="str">
        <f>BG43</f>
        <v>http://www.zelfbouwcase.nl/configuratorcategorieen/standaard-hd-9-mm-berken-met-1-mm-hpl.html</v>
      </c>
      <c r="BU42" s="1"/>
      <c r="BV42" s="1"/>
      <c r="BW42" s="1"/>
      <c r="BX42" s="1" t="str">
        <f>BK43</f>
        <v>9mm berken met 1mm HPL</v>
      </c>
      <c r="BY42" s="75"/>
      <c r="CB42" s="132"/>
      <c r="CC42" s="122" t="s">
        <v>111</v>
      </c>
      <c r="CD42" s="122"/>
      <c r="CE42" s="1">
        <f>BE44</f>
        <v>9</v>
      </c>
      <c r="CF42" s="1"/>
      <c r="CG42" s="5" t="str">
        <f>BG44</f>
        <v>http://www.zelfbouwcase.nl/zwart-betonplex-9-mm.html</v>
      </c>
      <c r="CH42" s="1"/>
      <c r="CI42" s="1"/>
      <c r="CJ42" s="1" t="str">
        <f>BK44</f>
        <v>9mm betonplex</v>
      </c>
      <c r="CK42" s="75"/>
      <c r="CN42" s="132"/>
      <c r="CP42" s="328" t="s">
        <v>316</v>
      </c>
      <c r="CQ42" s="229"/>
      <c r="CR42" s="229"/>
      <c r="CS42" s="229"/>
      <c r="CT42" s="229"/>
      <c r="CU42" s="229"/>
      <c r="CV42" s="229"/>
      <c r="CW42" s="229"/>
      <c r="CX42" s="229"/>
      <c r="CY42" s="229"/>
      <c r="CZ42" s="229"/>
      <c r="DA42" s="229"/>
      <c r="DB42" s="229"/>
      <c r="DC42" s="229"/>
      <c r="DD42" s="229"/>
      <c r="DE42" s="229"/>
      <c r="DF42" s="229"/>
      <c r="DG42" s="229"/>
      <c r="DH42" s="229"/>
    </row>
    <row r="43" spans="2:112" x14ac:dyDescent="0.25">
      <c r="B43" s="36"/>
      <c r="C43" s="1"/>
      <c r="D43" s="1"/>
      <c r="E43" s="42" t="s">
        <v>31</v>
      </c>
      <c r="F43" s="42" t="s">
        <v>32</v>
      </c>
      <c r="G43" s="42" t="s">
        <v>7</v>
      </c>
      <c r="J43" s="20"/>
      <c r="K43" s="22"/>
      <c r="L43" s="1"/>
      <c r="M43" s="1"/>
      <c r="N43" s="36"/>
      <c r="O43" s="1"/>
      <c r="Q43" s="42" t="s">
        <v>31</v>
      </c>
      <c r="R43" s="42" t="s">
        <v>32</v>
      </c>
      <c r="S43" s="145" t="s">
        <v>7</v>
      </c>
      <c r="T43" s="74"/>
      <c r="U43" s="74"/>
      <c r="V43" s="20"/>
      <c r="Y43" s="36"/>
      <c r="Z43" s="1"/>
      <c r="AB43" s="42" t="s">
        <v>31</v>
      </c>
      <c r="AC43" s="42" t="s">
        <v>32</v>
      </c>
      <c r="AD43" s="174" t="s">
        <v>7</v>
      </c>
      <c r="AE43" s="172"/>
      <c r="AF43" s="172"/>
      <c r="AG43" s="20"/>
      <c r="AH43" s="137"/>
      <c r="BC43" s="1"/>
      <c r="BD43" s="119" t="s">
        <v>190</v>
      </c>
      <c r="BE43" s="1">
        <v>10</v>
      </c>
      <c r="BF43" s="1"/>
      <c r="BG43" s="5" t="s">
        <v>317</v>
      </c>
      <c r="BH43" s="5"/>
      <c r="BI43" s="5"/>
      <c r="BJ43" s="294">
        <v>160</v>
      </c>
      <c r="BK43" s="158" t="str">
        <f>BD43</f>
        <v>9mm berken met 1mm HPL</v>
      </c>
      <c r="BL43" s="1"/>
      <c r="BO43" s="132"/>
      <c r="BP43" s="1"/>
      <c r="BQ43" s="1"/>
      <c r="BR43" s="1"/>
      <c r="BS43" s="1"/>
      <c r="BT43" s="5"/>
      <c r="BU43" s="5"/>
      <c r="BV43" s="5"/>
      <c r="BW43" s="5"/>
      <c r="BX43" s="1"/>
      <c r="BY43" s="1"/>
      <c r="CB43" s="132"/>
      <c r="CC43" s="1"/>
      <c r="CD43" s="1"/>
      <c r="CE43" s="1"/>
      <c r="CF43" s="1"/>
      <c r="CG43" s="5"/>
      <c r="CH43" s="5"/>
      <c r="CI43" s="5"/>
      <c r="CJ43" s="1"/>
      <c r="CK43" s="1"/>
      <c r="CN43" s="132"/>
      <c r="CP43" s="328"/>
      <c r="CQ43" s="229"/>
      <c r="CR43" s="229"/>
      <c r="CS43" s="229"/>
      <c r="CT43" s="229"/>
      <c r="CU43" s="229"/>
      <c r="CV43" s="229"/>
      <c r="CW43" s="229"/>
      <c r="CX43" s="229"/>
      <c r="CY43" s="229"/>
      <c r="CZ43" s="229"/>
      <c r="DA43" s="229"/>
      <c r="DB43" s="229"/>
      <c r="DC43" s="229"/>
      <c r="DD43" s="229"/>
      <c r="DE43" s="229"/>
      <c r="DF43" s="229"/>
      <c r="DG43" s="229"/>
      <c r="DH43" s="229"/>
    </row>
    <row r="44" spans="2:112" x14ac:dyDescent="0.25">
      <c r="B44" s="36"/>
      <c r="C44" s="1"/>
      <c r="D44" s="1"/>
      <c r="E44" s="129" t="s">
        <v>119</v>
      </c>
      <c r="F44" s="53">
        <v>4</v>
      </c>
      <c r="G44" s="172">
        <f>CU33</f>
        <v>582</v>
      </c>
      <c r="H44" s="1"/>
      <c r="I44" s="74"/>
      <c r="J44" s="20"/>
      <c r="K44" s="22"/>
      <c r="L44" s="1"/>
      <c r="N44" s="36"/>
      <c r="O44" s="1"/>
      <c r="Q44" s="129" t="s">
        <v>119</v>
      </c>
      <c r="R44" s="53">
        <v>4</v>
      </c>
      <c r="S44" s="4">
        <f>S38-2*BR23-1</f>
        <v>583</v>
      </c>
      <c r="T44" s="146"/>
      <c r="U44" s="74"/>
      <c r="V44" s="20"/>
      <c r="Y44" s="36"/>
      <c r="Z44" s="1"/>
      <c r="AB44" s="129" t="s">
        <v>119</v>
      </c>
      <c r="AC44" s="53">
        <v>2</v>
      </c>
      <c r="AD44" s="4">
        <f>AD39-2*CE23-1</f>
        <v>579</v>
      </c>
      <c r="AE44" s="4"/>
      <c r="AF44" s="172"/>
      <c r="AG44" s="20"/>
      <c r="AH44" s="137"/>
      <c r="BC44" s="1"/>
      <c r="BD44" s="1" t="s">
        <v>49</v>
      </c>
      <c r="BE44" s="1">
        <v>9</v>
      </c>
      <c r="BF44" s="1"/>
      <c r="BG44" s="5" t="s">
        <v>252</v>
      </c>
      <c r="BH44" s="5"/>
      <c r="BI44" s="5"/>
      <c r="BJ44" s="294">
        <v>171</v>
      </c>
      <c r="BK44" s="1" t="str">
        <f>BD44</f>
        <v>9mm betonplex</v>
      </c>
      <c r="BL44" s="1"/>
      <c r="BM44" s="42"/>
      <c r="BO44" s="132"/>
      <c r="BP44" s="1"/>
      <c r="BQ44" s="119"/>
      <c r="BR44" s="1"/>
      <c r="BS44" s="1"/>
      <c r="BT44" s="5"/>
      <c r="BU44" s="5"/>
      <c r="BV44" s="5"/>
      <c r="BW44" s="5"/>
      <c r="BX44" s="1"/>
      <c r="BY44" s="1"/>
      <c r="BZ44" s="42"/>
      <c r="CB44" s="132"/>
      <c r="CE44" s="47" t="s">
        <v>50</v>
      </c>
      <c r="CF44" s="47"/>
      <c r="CN44" s="132"/>
      <c r="CP44" s="229"/>
      <c r="CQ44" s="233"/>
      <c r="CR44" s="229"/>
      <c r="CS44" s="229"/>
      <c r="CT44" s="229"/>
      <c r="CU44" s="229"/>
      <c r="CV44" s="229"/>
      <c r="CW44" s="229"/>
      <c r="CX44" s="229"/>
      <c r="CY44" s="229"/>
      <c r="CZ44" s="229"/>
      <c r="DA44" s="229"/>
      <c r="DB44" s="229"/>
      <c r="DC44" s="229"/>
      <c r="DD44" s="229"/>
      <c r="DE44" s="229"/>
      <c r="DF44" s="229"/>
      <c r="DG44" s="229"/>
      <c r="DH44" s="229"/>
    </row>
    <row r="45" spans="2:112" x14ac:dyDescent="0.25">
      <c r="B45" s="36"/>
      <c r="C45" s="1"/>
      <c r="D45" s="1"/>
      <c r="E45" s="129" t="s">
        <v>120</v>
      </c>
      <c r="F45" s="53">
        <v>4</v>
      </c>
      <c r="G45" s="172">
        <f>CY34</f>
        <v>382</v>
      </c>
      <c r="H45" s="1"/>
      <c r="J45" s="20"/>
      <c r="K45" s="22"/>
      <c r="L45" s="191"/>
      <c r="N45" s="36"/>
      <c r="O45" s="1"/>
      <c r="Q45" s="129" t="s">
        <v>120</v>
      </c>
      <c r="R45" s="53">
        <v>4</v>
      </c>
      <c r="S45" s="4">
        <f>S37+2*BR42-2*BR23-1</f>
        <v>383</v>
      </c>
      <c r="T45" s="146"/>
      <c r="U45" s="74"/>
      <c r="V45" s="20"/>
      <c r="Y45" s="36"/>
      <c r="Z45" s="1"/>
      <c r="AB45" s="129" t="s">
        <v>120</v>
      </c>
      <c r="AC45" s="53">
        <v>2</v>
      </c>
      <c r="AD45" s="4">
        <f>AF36-2*CE23-1</f>
        <v>379</v>
      </c>
      <c r="AE45" s="4"/>
      <c r="AF45" s="172"/>
      <c r="AG45" s="20"/>
      <c r="AH45" s="137"/>
      <c r="BC45" s="1"/>
      <c r="BJ45" s="294"/>
      <c r="BL45" s="1"/>
      <c r="BO45" s="132"/>
      <c r="BP45" s="1"/>
      <c r="BQ45" s="1"/>
      <c r="BR45" s="1"/>
      <c r="BS45" s="1"/>
      <c r="BT45" s="5"/>
      <c r="BU45" s="5"/>
      <c r="BV45" s="5"/>
      <c r="BW45" s="5"/>
      <c r="BX45" s="1"/>
      <c r="BY45" s="1"/>
      <c r="CB45" s="132"/>
      <c r="CC45" s="122" t="s">
        <v>10</v>
      </c>
      <c r="CD45" s="122"/>
      <c r="CE45" s="47" t="s">
        <v>57</v>
      </c>
      <c r="CF45" s="47"/>
      <c r="CJ45" s="75" t="s">
        <v>112</v>
      </c>
      <c r="CK45" s="42" t="s">
        <v>32</v>
      </c>
      <c r="CL45" t="s">
        <v>126</v>
      </c>
      <c r="CM45" t="s">
        <v>127</v>
      </c>
      <c r="CN45" s="132"/>
      <c r="CP45" s="229"/>
      <c r="CQ45" s="229"/>
      <c r="CR45" s="229"/>
      <c r="CS45" s="229"/>
      <c r="CT45" s="229"/>
      <c r="CU45" s="229"/>
      <c r="CV45" s="229"/>
      <c r="CW45" s="229"/>
      <c r="CX45" s="229"/>
      <c r="CY45" s="229"/>
      <c r="CZ45" s="229"/>
      <c r="DA45" s="229"/>
      <c r="DB45" s="229"/>
      <c r="DC45" s="229"/>
      <c r="DD45" s="229"/>
      <c r="DE45" s="229"/>
      <c r="DF45" s="229"/>
      <c r="DG45" s="229"/>
      <c r="DH45" s="229"/>
    </row>
    <row r="46" spans="2:112" x14ac:dyDescent="0.25">
      <c r="B46" s="36"/>
      <c r="C46" s="1"/>
      <c r="D46" s="1"/>
      <c r="E46" s="129" t="s">
        <v>121</v>
      </c>
      <c r="F46" s="53">
        <f>IF(BE120&lt;15,"-",4)</f>
        <v>4</v>
      </c>
      <c r="G46" s="172">
        <f>CV36</f>
        <v>27</v>
      </c>
      <c r="J46" s="20"/>
      <c r="K46" s="22"/>
      <c r="L46" s="191"/>
      <c r="N46" s="36"/>
      <c r="O46" s="1"/>
      <c r="Q46" s="129" t="s">
        <v>121</v>
      </c>
      <c r="R46" s="53">
        <f>IF(BE120&lt;15,"-",4)</f>
        <v>4</v>
      </c>
      <c r="S46" s="157">
        <f>IF(BR120&lt;15,"vervalt",BR120)</f>
        <v>24.5</v>
      </c>
      <c r="T46" s="74"/>
      <c r="U46" s="74"/>
      <c r="V46" s="20"/>
      <c r="Y46" s="36"/>
      <c r="Z46" s="1"/>
      <c r="AB46" s="129" t="s">
        <v>167</v>
      </c>
      <c r="AC46" s="53">
        <v>4</v>
      </c>
      <c r="AD46" s="157">
        <f>CE119</f>
        <v>270</v>
      </c>
      <c r="AE46" s="172"/>
      <c r="AF46" s="172"/>
      <c r="AG46" s="20"/>
      <c r="AH46" s="137"/>
      <c r="AI46" s="7">
        <f>4*AH46</f>
        <v>0</v>
      </c>
      <c r="AJ46" s="7"/>
      <c r="AK46" s="7"/>
      <c r="AL46" s="7"/>
      <c r="AM46" s="7"/>
      <c r="AN46" s="7"/>
      <c r="AO46" s="7"/>
      <c r="AP46" s="7"/>
      <c r="AQ46" s="7"/>
      <c r="AR46" s="7"/>
      <c r="AS46" s="7"/>
      <c r="AT46" s="7"/>
      <c r="AU46" s="7"/>
      <c r="AV46" s="7"/>
      <c r="AW46" s="7"/>
      <c r="AX46" s="7"/>
      <c r="AY46" s="7"/>
      <c r="BC46" s="1"/>
      <c r="BD46" s="75" t="s">
        <v>67</v>
      </c>
      <c r="BE46" s="1">
        <f>VLOOKUP(Standaard!D25,BD43:BK44,2,FALSE)</f>
        <v>10</v>
      </c>
      <c r="BF46" s="1"/>
      <c r="BG46" s="1" t="str">
        <f>VLOOKUP(Standaard!D25,BD43:BK44,4,FALSE)</f>
        <v>http://www.zelfbouwcase.nl/configuratorcategorieen/standaard-hd-9-mm-berken-met-1-mm-hpl.html</v>
      </c>
      <c r="BH46" s="1"/>
      <c r="BI46" s="1"/>
      <c r="BJ46" s="294">
        <f>VLOOKUP(Standaard!D25,BD43:BK44,7,FALSE)</f>
        <v>160</v>
      </c>
      <c r="BK46" s="1" t="str">
        <f>Standaard!D25</f>
        <v>9mm berken met 1mm HPL</v>
      </c>
      <c r="BL46" s="1"/>
      <c r="BO46" s="133"/>
      <c r="BP46" s="1"/>
      <c r="BQ46" s="75"/>
      <c r="BY46" s="1"/>
      <c r="CB46" s="133"/>
      <c r="CD46" t="s">
        <v>173</v>
      </c>
      <c r="CF46" s="47"/>
      <c r="CG46" s="58" t="s">
        <v>256</v>
      </c>
      <c r="CJ46" t="s">
        <v>173</v>
      </c>
      <c r="CK46" s="130">
        <v>4</v>
      </c>
      <c r="CL46" s="130">
        <v>3</v>
      </c>
      <c r="CM46" s="130"/>
      <c r="CN46" s="133"/>
      <c r="CO46" s="42"/>
      <c r="CP46" s="233"/>
      <c r="CQ46" s="229"/>
      <c r="CR46" s="229"/>
      <c r="CS46" s="229"/>
      <c r="CT46" s="229"/>
      <c r="CU46" s="229"/>
      <c r="CV46" s="229"/>
      <c r="CW46" s="229"/>
      <c r="CX46" s="229"/>
      <c r="CY46" s="229"/>
      <c r="CZ46" s="229"/>
      <c r="DA46" s="229"/>
      <c r="DB46" s="229"/>
      <c r="DC46" s="229"/>
      <c r="DD46" s="229"/>
      <c r="DE46" s="229"/>
      <c r="DF46" s="229"/>
      <c r="DG46" s="229"/>
      <c r="DH46" s="229"/>
    </row>
    <row r="47" spans="2:112" x14ac:dyDescent="0.25">
      <c r="B47" s="36"/>
      <c r="C47" s="1"/>
      <c r="D47" s="1"/>
      <c r="E47" s="129" t="s">
        <v>137</v>
      </c>
      <c r="F47" s="53">
        <f>IF(BE121&lt;15,"-",4)</f>
        <v>4</v>
      </c>
      <c r="G47" s="172">
        <f>DA37</f>
        <v>211</v>
      </c>
      <c r="J47" s="20"/>
      <c r="K47" s="22"/>
      <c r="L47" s="191"/>
      <c r="N47" s="36"/>
      <c r="O47" s="1"/>
      <c r="Q47" s="129" t="s">
        <v>137</v>
      </c>
      <c r="R47" s="53">
        <f>IF(BE121&lt;15,"-",4)</f>
        <v>4</v>
      </c>
      <c r="S47" s="4">
        <f>IF(BR121&lt;15,"vervalt",BR121)</f>
        <v>212.5</v>
      </c>
      <c r="T47" s="74"/>
      <c r="U47" s="74"/>
      <c r="V47" s="20"/>
      <c r="Y47" s="36"/>
      <c r="Z47" s="1"/>
      <c r="AB47" s="129"/>
      <c r="AC47" s="53"/>
      <c r="AD47" s="4"/>
      <c r="AE47" s="172"/>
      <c r="AF47" s="172"/>
      <c r="AG47" s="20"/>
      <c r="AH47" s="137"/>
      <c r="BC47" s="1"/>
      <c r="BD47" s="75" t="s">
        <v>68</v>
      </c>
      <c r="BE47" s="1"/>
      <c r="BF47" s="1"/>
      <c r="BG47" s="1" t="str">
        <f>VLOOKUP(BE46,BE39:BK40,3,FALSE)</f>
        <v>http://www.zelfbouwcase.nl/0522-1-5mm-dik-sluitprofiel-10mm.html</v>
      </c>
      <c r="BH47" s="1"/>
      <c r="BI47" s="1"/>
      <c r="BJ47" s="294">
        <f>VLOOKUP(BE46,BE39:BK40,6,FALSE)</f>
        <v>114</v>
      </c>
      <c r="BK47" s="1" t="str">
        <f>VLOOKUP(BE46,BE39:BK40,7,FALSE)</f>
        <v>10mm sluitprofiel</v>
      </c>
      <c r="BL47" s="1"/>
      <c r="BO47" s="132"/>
      <c r="BP47" s="1"/>
      <c r="BQ47" s="75"/>
      <c r="BR47" s="1"/>
      <c r="BS47" s="1"/>
      <c r="BT47" s="5"/>
      <c r="BU47" s="5"/>
      <c r="BV47" s="5"/>
      <c r="BW47" s="5"/>
      <c r="BX47" s="1"/>
      <c r="BY47" s="1"/>
      <c r="CB47" s="132"/>
      <c r="CD47" t="s">
        <v>174</v>
      </c>
      <c r="CE47" s="74"/>
      <c r="CF47" s="74"/>
      <c r="CG47" s="58" t="s">
        <v>257</v>
      </c>
      <c r="CH47" s="58"/>
      <c r="CI47" s="58"/>
      <c r="CJ47" t="s">
        <v>174</v>
      </c>
      <c r="CK47">
        <v>4</v>
      </c>
      <c r="CL47">
        <v>2</v>
      </c>
      <c r="CN47" s="132"/>
      <c r="CP47" s="229"/>
      <c r="CQ47" s="229"/>
      <c r="CR47" s="229"/>
      <c r="CS47" s="229"/>
      <c r="CT47" s="229"/>
      <c r="CU47" s="229"/>
      <c r="CV47" s="229"/>
      <c r="CW47" s="229"/>
      <c r="CX47" s="229"/>
      <c r="CY47" s="229"/>
      <c r="CZ47" s="229"/>
      <c r="DA47" s="229"/>
      <c r="DB47" s="229"/>
      <c r="DC47" s="229"/>
      <c r="DD47" s="229"/>
      <c r="DE47" s="229"/>
      <c r="DF47" s="229"/>
      <c r="DG47" s="229"/>
      <c r="DH47" s="229"/>
    </row>
    <row r="48" spans="2:112" x14ac:dyDescent="0.25">
      <c r="B48" s="36"/>
      <c r="C48" s="1"/>
      <c r="D48" s="1"/>
      <c r="E48" s="1"/>
      <c r="F48" s="10"/>
      <c r="G48" s="11"/>
      <c r="H48" s="11"/>
      <c r="I48" s="11"/>
      <c r="J48" s="20"/>
      <c r="K48" s="22"/>
      <c r="L48" s="191"/>
      <c r="M48" s="1"/>
      <c r="N48" s="36"/>
      <c r="O48" s="1"/>
      <c r="P48" s="1"/>
      <c r="Q48" s="10"/>
      <c r="R48" s="10"/>
      <c r="S48" s="76"/>
      <c r="T48" s="76"/>
      <c r="U48" s="76"/>
      <c r="V48" s="20"/>
      <c r="Y48" s="36"/>
      <c r="Z48" s="1"/>
      <c r="AA48" s="1"/>
      <c r="AB48" s="10"/>
      <c r="AC48" s="10"/>
      <c r="AD48" s="175"/>
      <c r="AE48" s="175"/>
      <c r="AF48" s="175"/>
      <c r="AG48" s="20"/>
      <c r="AH48" s="137"/>
      <c r="BJ48" s="294"/>
      <c r="BO48" s="132"/>
      <c r="CB48" s="132"/>
      <c r="CN48" s="132"/>
      <c r="CP48" s="229"/>
      <c r="CQ48" s="229"/>
      <c r="CR48" s="229"/>
      <c r="CS48" s="229"/>
      <c r="CT48" s="229"/>
      <c r="CU48" s="229"/>
      <c r="CV48" s="229"/>
      <c r="CW48" s="229"/>
      <c r="CX48" s="229"/>
      <c r="CY48" s="229"/>
      <c r="CZ48" s="229"/>
      <c r="DA48" s="229"/>
      <c r="DB48" s="229"/>
      <c r="DC48" s="229"/>
      <c r="DD48" s="229"/>
      <c r="DE48" s="229"/>
      <c r="DF48" s="229"/>
      <c r="DG48" s="229"/>
      <c r="DH48" s="229"/>
    </row>
    <row r="49" spans="2:112" x14ac:dyDescent="0.25">
      <c r="B49" s="36"/>
      <c r="C49" s="1"/>
      <c r="D49" s="1"/>
      <c r="E49" s="83" t="str">
        <f>HYPERLINK(BG47,BK47)</f>
        <v>10mm sluitprofiel</v>
      </c>
      <c r="F49" s="38"/>
      <c r="G49" s="38"/>
      <c r="H49" s="38"/>
      <c r="I49" s="38"/>
      <c r="J49" s="20"/>
      <c r="K49" s="22"/>
      <c r="L49" s="1"/>
      <c r="M49" s="1"/>
      <c r="N49" s="36"/>
      <c r="O49" s="1"/>
      <c r="Q49" s="83" t="str">
        <f>HYPERLINK(BT39,BX39)</f>
        <v>10mm Sluitprofiel 2mm dik</v>
      </c>
      <c r="R49" s="38"/>
      <c r="S49" s="144"/>
      <c r="T49" s="144"/>
      <c r="U49" s="144"/>
      <c r="V49" s="20"/>
      <c r="Y49" s="36"/>
      <c r="Z49" s="1"/>
      <c r="AB49" s="83" t="str">
        <f>HYPERLINK(CG39,CJ39)</f>
        <v>Slam-lidprofiel 9mm</v>
      </c>
      <c r="AC49" s="38"/>
      <c r="AD49" s="173"/>
      <c r="AE49" s="173"/>
      <c r="AF49" s="173"/>
      <c r="AG49" s="20"/>
      <c r="AH49" s="137"/>
      <c r="BC49" s="122" t="s">
        <v>54</v>
      </c>
      <c r="BD49" s="122"/>
      <c r="BE49" s="135" t="s">
        <v>130</v>
      </c>
      <c r="BF49" s="42"/>
      <c r="BG49" s="42" t="s">
        <v>48</v>
      </c>
      <c r="BH49" s="42"/>
      <c r="BI49" s="42"/>
      <c r="BJ49" s="294"/>
      <c r="BK49" s="75" t="s">
        <v>112</v>
      </c>
      <c r="BL49" s="42"/>
      <c r="BM49" t="s">
        <v>126</v>
      </c>
      <c r="BN49" t="s">
        <v>127</v>
      </c>
      <c r="BO49" s="132"/>
      <c r="BP49" s="122" t="s">
        <v>54</v>
      </c>
      <c r="BQ49" s="122"/>
      <c r="BR49" s="135" t="s">
        <v>130</v>
      </c>
      <c r="BS49" s="42"/>
      <c r="BT49" s="42" t="s">
        <v>48</v>
      </c>
      <c r="BU49" s="42"/>
      <c r="BV49" s="42"/>
      <c r="BW49" s="42"/>
      <c r="BX49" s="75" t="s">
        <v>112</v>
      </c>
      <c r="BY49" s="42"/>
      <c r="BZ49" t="s">
        <v>126</v>
      </c>
      <c r="CA49" t="s">
        <v>127</v>
      </c>
      <c r="CB49" s="132"/>
      <c r="CC49" s="122" t="s">
        <v>201</v>
      </c>
      <c r="CD49" s="122"/>
      <c r="CF49" s="42"/>
      <c r="CG49" s="58" t="s">
        <v>258</v>
      </c>
      <c r="CH49" s="58"/>
      <c r="CI49" s="58"/>
      <c r="CJ49" t="s">
        <v>201</v>
      </c>
      <c r="CK49">
        <f>IF(CE56&lt;=Formules!CE54,1,2)</f>
        <v>1</v>
      </c>
      <c r="CL49">
        <v>4</v>
      </c>
      <c r="CN49" s="132"/>
      <c r="CP49" s="229"/>
      <c r="CQ49" s="229"/>
      <c r="CR49" s="229"/>
      <c r="CS49" s="229"/>
      <c r="CT49" s="229"/>
      <c r="CU49" s="229"/>
      <c r="CV49" s="229"/>
      <c r="CW49" s="229"/>
      <c r="CX49" s="229"/>
      <c r="CY49" s="229"/>
      <c r="CZ49" s="229"/>
      <c r="DA49" s="229"/>
      <c r="DB49" s="229"/>
      <c r="DC49" s="229"/>
      <c r="DD49" s="229"/>
      <c r="DE49" s="229"/>
      <c r="DF49" s="229"/>
      <c r="DG49" s="229"/>
      <c r="DH49" s="229"/>
    </row>
    <row r="50" spans="2:112" x14ac:dyDescent="0.25">
      <c r="B50" s="36"/>
      <c r="C50" s="1"/>
      <c r="D50" s="1"/>
      <c r="E50" s="42" t="s">
        <v>31</v>
      </c>
      <c r="F50" s="42" t="s">
        <v>32</v>
      </c>
      <c r="G50" s="42" t="s">
        <v>7</v>
      </c>
      <c r="H50" s="11"/>
      <c r="I50" s="11"/>
      <c r="J50" s="20"/>
      <c r="K50" s="22"/>
      <c r="L50" s="191"/>
      <c r="M50" s="1"/>
      <c r="N50" s="36"/>
      <c r="O50" s="1"/>
      <c r="Q50" s="42" t="s">
        <v>31</v>
      </c>
      <c r="R50" s="42" t="s">
        <v>32</v>
      </c>
      <c r="S50" s="145" t="s">
        <v>7</v>
      </c>
      <c r="T50" s="76"/>
      <c r="U50" s="76"/>
      <c r="V50" s="20"/>
      <c r="Y50" s="36"/>
      <c r="Z50" s="1"/>
      <c r="AB50" s="42" t="s">
        <v>31</v>
      </c>
      <c r="AC50" s="42" t="s">
        <v>32</v>
      </c>
      <c r="AD50" s="174" t="s">
        <v>7</v>
      </c>
      <c r="AE50" s="175"/>
      <c r="AF50" s="175"/>
      <c r="AG50" s="20"/>
      <c r="AH50" s="137"/>
      <c r="BD50" t="s">
        <v>309</v>
      </c>
      <c r="BE50">
        <v>50</v>
      </c>
      <c r="BG50" s="58" t="s">
        <v>253</v>
      </c>
      <c r="BH50" s="58"/>
      <c r="BI50" s="58"/>
      <c r="BJ50" s="294"/>
      <c r="BK50" t="str">
        <f>IF(AND(BH$29&gt;=BE50,BH$28-BH$29&gt;=BE50),BD50,"")</f>
        <v>Middelgrote sluitingen (±10x10cm)</v>
      </c>
      <c r="BM50">
        <v>6</v>
      </c>
      <c r="BN50">
        <v>4</v>
      </c>
      <c r="BO50" s="132"/>
      <c r="BQ50" t="s">
        <v>309</v>
      </c>
      <c r="BR50">
        <v>50</v>
      </c>
      <c r="BT50" s="58" t="s">
        <v>253</v>
      </c>
      <c r="BU50" s="58"/>
      <c r="BV50" s="58"/>
      <c r="BW50" s="58"/>
      <c r="BX50" t="str">
        <f>IF(BU$29&gt;=BR50,BQ50,"")</f>
        <v>Middelgrote sluitingen (±10x10cm)</v>
      </c>
      <c r="BZ50">
        <v>6</v>
      </c>
      <c r="CA50">
        <v>4</v>
      </c>
      <c r="CB50" s="132"/>
      <c r="CN50" s="132"/>
      <c r="CP50" s="229"/>
      <c r="CQ50" s="229"/>
      <c r="CR50" s="229"/>
      <c r="CS50" s="229"/>
      <c r="CT50" s="229"/>
      <c r="CU50" s="229"/>
      <c r="CV50" s="229"/>
      <c r="CW50" s="229"/>
      <c r="CX50" s="229"/>
      <c r="CY50" s="229"/>
      <c r="CZ50" s="229"/>
      <c r="DA50" s="229"/>
      <c r="DB50" s="229"/>
      <c r="DC50" s="229"/>
      <c r="DD50" s="229"/>
      <c r="DE50" s="229"/>
      <c r="DF50" s="229"/>
      <c r="DG50" s="229"/>
      <c r="DH50" s="229"/>
    </row>
    <row r="51" spans="2:112" x14ac:dyDescent="0.25">
      <c r="B51" s="36"/>
      <c r="C51" s="1"/>
      <c r="D51" s="1"/>
      <c r="E51" s="129" t="s">
        <v>117</v>
      </c>
      <c r="F51" s="53">
        <v>2</v>
      </c>
      <c r="G51" s="1">
        <f>$G38+2*$BE30</f>
        <v>643</v>
      </c>
      <c r="H51" s="1"/>
      <c r="J51" s="20"/>
      <c r="K51" s="22"/>
      <c r="L51" s="1"/>
      <c r="M51" s="9"/>
      <c r="N51" s="36"/>
      <c r="O51" s="1"/>
      <c r="Q51" s="129" t="s">
        <v>117</v>
      </c>
      <c r="R51" s="53">
        <v>2</v>
      </c>
      <c r="S51" s="4">
        <f>$S36+2*$BR30</f>
        <v>644</v>
      </c>
      <c r="T51" s="146"/>
      <c r="U51" s="74"/>
      <c r="V51" s="20"/>
      <c r="Y51" s="36"/>
      <c r="Z51" s="1"/>
      <c r="AB51" s="129" t="s">
        <v>117</v>
      </c>
      <c r="AC51" s="53">
        <v>2</v>
      </c>
      <c r="AD51" s="4">
        <f>AD36+2*$CE30</f>
        <v>642</v>
      </c>
      <c r="AE51" s="4"/>
      <c r="AF51" s="172"/>
      <c r="AG51" s="20"/>
      <c r="AH51" s="137"/>
      <c r="BD51" t="s">
        <v>318</v>
      </c>
      <c r="BE51">
        <v>71</v>
      </c>
      <c r="BG51" s="58" t="s">
        <v>248</v>
      </c>
      <c r="BH51" s="58"/>
      <c r="BI51" s="58"/>
      <c r="BJ51" s="294"/>
      <c r="BK51" t="str">
        <f>IF(AND(BH$29&gt;=BE51,BH$28-BH$29&gt;=BE51),BD51,"")</f>
        <v>Grote sluitingen (±13x18cm)</v>
      </c>
      <c r="BM51">
        <v>10</v>
      </c>
      <c r="BN51">
        <v>4</v>
      </c>
      <c r="BO51" s="132"/>
      <c r="BQ51" t="s">
        <v>318</v>
      </c>
      <c r="BR51">
        <v>71</v>
      </c>
      <c r="BT51" s="58" t="s">
        <v>248</v>
      </c>
      <c r="BU51" s="58"/>
      <c r="BV51" s="58"/>
      <c r="BW51" s="58"/>
      <c r="BX51" t="str">
        <f>IF(AND(BU$29&gt;=BR51,BU$28-BU$29&gt;=BR51),BQ51,"")</f>
        <v>Grote sluitingen (±13x18cm)</v>
      </c>
      <c r="BZ51" s="130">
        <v>10</v>
      </c>
      <c r="CA51" s="130">
        <v>4</v>
      </c>
      <c r="CB51" s="132"/>
      <c r="CC51" s="122" t="s">
        <v>171</v>
      </c>
      <c r="CD51" s="122"/>
      <c r="CF51" s="42"/>
      <c r="CG51" s="58" t="s">
        <v>170</v>
      </c>
      <c r="CH51" s="47"/>
      <c r="CI51" s="47"/>
      <c r="CJ51" s="152" t="s">
        <v>172</v>
      </c>
      <c r="CN51" s="132"/>
      <c r="CP51" s="229"/>
      <c r="CQ51" s="229"/>
      <c r="CR51" s="229"/>
      <c r="CS51" s="229"/>
      <c r="CT51" s="229"/>
      <c r="CU51" s="229"/>
      <c r="CV51" s="229"/>
      <c r="CW51" s="229"/>
      <c r="CX51" s="229"/>
      <c r="CY51" s="229"/>
      <c r="CZ51" s="229"/>
      <c r="DA51" s="229"/>
      <c r="DB51" s="229"/>
      <c r="DC51" s="229"/>
      <c r="DD51" s="229"/>
      <c r="DE51" s="229"/>
      <c r="DF51" s="229"/>
      <c r="DG51" s="229"/>
      <c r="DH51" s="229"/>
    </row>
    <row r="52" spans="2:112" x14ac:dyDescent="0.25">
      <c r="B52" s="36"/>
      <c r="C52" s="1"/>
      <c r="D52" s="1"/>
      <c r="E52" s="129" t="s">
        <v>118</v>
      </c>
      <c r="F52" s="53">
        <v>2</v>
      </c>
      <c r="G52" s="1">
        <f>I36+2*$BE30</f>
        <v>443</v>
      </c>
      <c r="H52" s="1"/>
      <c r="J52" s="20"/>
      <c r="K52" s="22"/>
      <c r="L52" s="1"/>
      <c r="M52" s="9"/>
      <c r="N52" s="36"/>
      <c r="O52" s="1"/>
      <c r="Q52" s="129" t="s">
        <v>118</v>
      </c>
      <c r="R52" s="53">
        <v>2</v>
      </c>
      <c r="S52" s="4">
        <f>U36+2*$BR30</f>
        <v>444</v>
      </c>
      <c r="T52" s="146"/>
      <c r="U52" s="74"/>
      <c r="V52" s="20"/>
      <c r="Y52" s="36"/>
      <c r="Z52" s="1"/>
      <c r="AB52" s="129" t="s">
        <v>118</v>
      </c>
      <c r="AC52" s="53">
        <v>2</v>
      </c>
      <c r="AD52" s="4">
        <f>AF36+2*$CE30</f>
        <v>442</v>
      </c>
      <c r="AE52" s="4"/>
      <c r="AF52" s="172"/>
      <c r="AG52" s="20"/>
      <c r="AH52" s="137"/>
      <c r="BD52" s="42" t="s">
        <v>73</v>
      </c>
      <c r="BE52">
        <f>IFERROR(VLOOKUP(Standaard!D29,BD50:BJ51,2,FALSE),"fout")</f>
        <v>50</v>
      </c>
      <c r="BG52" t="str">
        <f>IFERROR(VLOOKUP(Standaard!D29,BD50:BJ51,4,FALSE),"niet gevonden")</f>
        <v>http://www.zelfbouwcase.nl/configuratorcategorieen/standaard-hd-middelgrote-sluitingen.html</v>
      </c>
      <c r="BJ52" s="294"/>
      <c r="BK52" t="str">
        <f>Standaard!D29</f>
        <v>Middelgrote sluitingen (±10x10cm)</v>
      </c>
      <c r="BM52" s="42">
        <f>IFERROR(VLOOKUP(Standaard!D29,BD50:BN51,9,FALSE),BM51)</f>
        <v>0</v>
      </c>
      <c r="BN52" s="42">
        <f>IFERROR(VLOOKUP(Standaard!D29,BD50:BN51,10,FALSE),BN51)</f>
        <v>6</v>
      </c>
      <c r="BO52" s="132"/>
      <c r="BQ52" s="42" t="s">
        <v>73</v>
      </c>
      <c r="BR52">
        <f>IFERROR(VLOOKUP(Standaard!P29,BQ50:BV51,2,FALSE),"fout")</f>
        <v>71</v>
      </c>
      <c r="BT52" t="str">
        <f>IFERROR(VLOOKUP(Standaard!P29,BQ50:BV51,4,FALSE),"niet gevonden")</f>
        <v>http://www.zelfbouwcase.nl/configuratorcategorieen/standaard-hd-grote-sluitingen.html</v>
      </c>
      <c r="BX52" t="str">
        <f>Standaard!P29</f>
        <v>Grote sluitingen (±13x18cm)</v>
      </c>
      <c r="BZ52" s="42">
        <f>IFERROR(VLOOKUP(Standaard!P29,BQ50:CA51,9,FALSE),BZ51)</f>
        <v>0</v>
      </c>
      <c r="CA52" s="42">
        <f>IFERROR(VLOOKUP(Standaard!P29,BQ50:CA51,10,FALSE),CA51)</f>
        <v>10</v>
      </c>
      <c r="CB52" s="132"/>
      <c r="CE52">
        <v>700</v>
      </c>
      <c r="CG52" s="58" t="s">
        <v>283</v>
      </c>
      <c r="CJ52" t="str">
        <f>IF(CK52=1,"Dekselstopper met popnagels","Dekselstoppers met popnagels")</f>
        <v>Dekselstopper met popnagels</v>
      </c>
      <c r="CK52">
        <f>IF(Standaard!AD37&lt;Formules!CE52,1,2)</f>
        <v>1</v>
      </c>
      <c r="CN52" s="132"/>
      <c r="CP52" s="229"/>
      <c r="CQ52" s="229"/>
      <c r="CR52" s="229"/>
      <c r="CS52" s="229"/>
      <c r="CT52" s="229"/>
      <c r="CU52" s="229"/>
      <c r="CV52" s="229"/>
      <c r="CW52" s="229"/>
      <c r="CX52" s="229"/>
      <c r="CY52" s="229"/>
      <c r="CZ52" s="229"/>
      <c r="DA52" s="229"/>
      <c r="DB52" s="229"/>
      <c r="DC52" s="229"/>
      <c r="DD52" s="229"/>
      <c r="DE52" s="229"/>
      <c r="DF52" s="229"/>
      <c r="DG52" s="229"/>
      <c r="DH52" s="229"/>
    </row>
    <row r="53" spans="2:112" x14ac:dyDescent="0.25">
      <c r="B53" s="36"/>
      <c r="C53" s="1"/>
      <c r="D53" s="1"/>
      <c r="E53" s="1"/>
      <c r="F53" s="53"/>
      <c r="G53" s="1"/>
      <c r="H53" s="1"/>
      <c r="J53" s="20"/>
      <c r="K53" s="22"/>
      <c r="L53" s="1"/>
      <c r="M53" s="1"/>
      <c r="N53" s="36"/>
      <c r="O53" s="1"/>
      <c r="P53" s="1"/>
      <c r="Q53" s="53"/>
      <c r="R53" s="53"/>
      <c r="S53" s="146"/>
      <c r="T53" s="146"/>
      <c r="U53" s="74"/>
      <c r="V53" s="20"/>
      <c r="Y53" s="36"/>
      <c r="Z53" s="1"/>
      <c r="AA53" s="1"/>
      <c r="AB53" s="53"/>
      <c r="AC53" s="53"/>
      <c r="AD53" s="1"/>
      <c r="AE53" s="1"/>
      <c r="AG53" s="20"/>
      <c r="AH53" s="137"/>
      <c r="BD53" t="str">
        <f>BD50</f>
        <v>Middelgrote sluitingen (±10x10cm)</v>
      </c>
      <c r="BG53" s="58" t="s">
        <v>268</v>
      </c>
      <c r="BH53" s="58"/>
      <c r="BI53" s="58"/>
      <c r="BJ53" s="294"/>
      <c r="BK53" t="s">
        <v>266</v>
      </c>
      <c r="BM53">
        <v>6</v>
      </c>
      <c r="BN53">
        <v>4</v>
      </c>
      <c r="BO53" s="132"/>
      <c r="BQ53" t="str">
        <f>BQ50</f>
        <v>Middelgrote sluitingen (±10x10cm)</v>
      </c>
      <c r="BT53" s="58" t="s">
        <v>268</v>
      </c>
      <c r="BU53" s="58"/>
      <c r="BV53" s="58"/>
      <c r="BW53" s="58"/>
      <c r="BX53" t="s">
        <v>266</v>
      </c>
      <c r="BZ53">
        <v>6</v>
      </c>
      <c r="CA53">
        <v>4</v>
      </c>
      <c r="CB53" s="132"/>
      <c r="CN53" s="132"/>
      <c r="CP53" s="229"/>
      <c r="CQ53" s="229"/>
      <c r="CR53" s="229"/>
      <c r="CS53" s="229"/>
      <c r="CT53" s="229"/>
      <c r="CU53" s="229"/>
      <c r="CV53" s="229"/>
      <c r="CW53" s="229"/>
      <c r="CX53" s="229"/>
      <c r="CY53" s="229"/>
      <c r="CZ53" s="229"/>
      <c r="DA53" s="229"/>
      <c r="DB53" s="229"/>
      <c r="DC53" s="229"/>
      <c r="DD53" s="229"/>
      <c r="DE53" s="229"/>
      <c r="DF53" s="229"/>
      <c r="DG53" s="229"/>
      <c r="DH53" s="229"/>
    </row>
    <row r="54" spans="2:112" x14ac:dyDescent="0.25">
      <c r="B54" s="36"/>
      <c r="C54" s="1"/>
      <c r="D54" s="1"/>
      <c r="E54" s="38" t="s">
        <v>10</v>
      </c>
      <c r="F54" s="38"/>
      <c r="G54" s="350"/>
      <c r="H54" s="342"/>
      <c r="I54" s="342"/>
      <c r="J54" s="20"/>
      <c r="K54" s="22"/>
      <c r="L54" s="1"/>
      <c r="M54" s="1"/>
      <c r="N54" s="36"/>
      <c r="O54" s="1"/>
      <c r="Q54" s="38" t="s">
        <v>10</v>
      </c>
      <c r="R54" s="38"/>
      <c r="S54" s="377"/>
      <c r="T54" s="378"/>
      <c r="U54" s="378"/>
      <c r="V54" s="20"/>
      <c r="Y54" s="36"/>
      <c r="Z54" s="1"/>
      <c r="AB54" s="38" t="s">
        <v>10</v>
      </c>
      <c r="AC54" s="38"/>
      <c r="AD54" s="350"/>
      <c r="AE54" s="342"/>
      <c r="AF54" s="342"/>
      <c r="AG54" s="20"/>
      <c r="AH54" s="137"/>
      <c r="BD54" t="str">
        <f>BD51</f>
        <v>Grote sluitingen (±13x18cm)</v>
      </c>
      <c r="BG54" s="58" t="s">
        <v>269</v>
      </c>
      <c r="BH54" s="58"/>
      <c r="BI54" s="58"/>
      <c r="BJ54" s="294"/>
      <c r="BK54" t="s">
        <v>267</v>
      </c>
      <c r="BM54">
        <v>10</v>
      </c>
      <c r="BN54">
        <v>4</v>
      </c>
      <c r="BO54" s="132"/>
      <c r="BQ54" t="str">
        <f>BQ51</f>
        <v>Grote sluitingen (±13x18cm)</v>
      </c>
      <c r="BT54" s="58" t="s">
        <v>269</v>
      </c>
      <c r="BU54" s="58"/>
      <c r="BV54" s="58"/>
      <c r="BW54" s="58"/>
      <c r="BX54" t="s">
        <v>318</v>
      </c>
      <c r="BZ54">
        <v>10</v>
      </c>
      <c r="CA54">
        <v>4</v>
      </c>
      <c r="CB54" s="132"/>
      <c r="CC54" s="122" t="s">
        <v>273</v>
      </c>
      <c r="CD54" s="122"/>
      <c r="CE54">
        <v>600</v>
      </c>
      <c r="CG54" s="58" t="s">
        <v>274</v>
      </c>
      <c r="CJ54" t="s">
        <v>307</v>
      </c>
      <c r="CN54" s="132"/>
      <c r="CP54" s="229"/>
      <c r="CQ54" s="233"/>
      <c r="CR54" s="229"/>
      <c r="CS54" s="229"/>
      <c r="CT54" s="229"/>
      <c r="CU54" s="229"/>
      <c r="CV54" s="229"/>
      <c r="CW54" s="229"/>
      <c r="CX54" s="229"/>
      <c r="CY54" s="229"/>
      <c r="CZ54" s="229"/>
      <c r="DA54" s="229"/>
      <c r="DB54" s="229"/>
      <c r="DC54" s="229"/>
      <c r="DD54" s="229"/>
      <c r="DE54" s="229"/>
      <c r="DF54" s="229"/>
      <c r="DG54" s="229"/>
      <c r="DH54" s="229"/>
    </row>
    <row r="55" spans="2:112" x14ac:dyDescent="0.25">
      <c r="B55" s="36"/>
      <c r="C55" s="1"/>
      <c r="D55" s="1"/>
      <c r="E55" s="42" t="s">
        <v>31</v>
      </c>
      <c r="F55" s="42" t="s">
        <v>32</v>
      </c>
      <c r="G55" s="42"/>
      <c r="H55" s="11"/>
      <c r="I55" s="11"/>
      <c r="J55" s="20"/>
      <c r="K55" s="22"/>
      <c r="L55" s="1"/>
      <c r="M55" s="1"/>
      <c r="N55" s="36"/>
      <c r="O55" s="1"/>
      <c r="Q55" s="42" t="s">
        <v>31</v>
      </c>
      <c r="R55" s="42" t="s">
        <v>32</v>
      </c>
      <c r="S55" s="145"/>
      <c r="T55" s="76"/>
      <c r="U55" s="76"/>
      <c r="V55" s="20"/>
      <c r="Y55" s="36"/>
      <c r="Z55" s="1"/>
      <c r="AB55" s="42" t="s">
        <v>31</v>
      </c>
      <c r="AC55" s="42" t="s">
        <v>32</v>
      </c>
      <c r="AD55" s="42"/>
      <c r="AE55" s="11"/>
      <c r="AF55" s="11"/>
      <c r="AG55" s="20"/>
      <c r="AH55" s="137"/>
      <c r="BD55" s="42" t="s">
        <v>270</v>
      </c>
      <c r="BG55" t="str">
        <f>IF(BG23,VLOOKUP(Standaard!D29,BD53:BK54,4,FALSE),"")</f>
        <v>http://www.zelfbouwcase.nl/configuratorcategorieen/standaard-hd-middelgrote-scharnieren.html</v>
      </c>
      <c r="BJ55" s="294"/>
      <c r="BK55" t="str">
        <f>IF(BG23,VLOOKUP(Standaard!D29,BD53:BK54,8,FALSE),"")</f>
        <v>Middelgrote scharnieren</v>
      </c>
      <c r="BM55" s="42">
        <f>IF(BG23,VLOOKUP(Standaard!D29,BD53:BN54,10,FALSE),0)</f>
        <v>6</v>
      </c>
      <c r="BN55" s="42">
        <f>IF(BG23,VLOOKUP(Standaard!D29,BD53:BN54,11,FALSE),0)</f>
        <v>4</v>
      </c>
      <c r="BO55" s="132"/>
      <c r="BQ55" s="42" t="s">
        <v>270</v>
      </c>
      <c r="BT55" t="str">
        <f>IF(BT23,VLOOKUP(Standaard!P29,BQ53:BX54,4,FALSE),"")</f>
        <v>http://www.zelfbouwcase.nl/configuratorcategorieen/standaard-hd-grote-scharnieren.html</v>
      </c>
      <c r="BX55" t="str">
        <f>IF(BT23,VLOOKUP(Standaard!P29,BQ53:BX54,8,FALSE),"")</f>
        <v>Grote sluitingen (±13x18cm)</v>
      </c>
      <c r="BZ55" s="42">
        <f>IF(BT23,VLOOKUP(Standaard!P29,BQ53:CA54,9,FALSE),0)</f>
        <v>0</v>
      </c>
      <c r="CA55" s="42">
        <f>IF(BT23,VLOOKUP(Standaard!P29,BQ53:CA54,10,FALSE),0)</f>
        <v>10</v>
      </c>
      <c r="CB55" s="132"/>
      <c r="CG55" t="s">
        <v>275</v>
      </c>
      <c r="CJ55" t="s">
        <v>308</v>
      </c>
      <c r="CN55" s="132"/>
      <c r="CP55" s="229"/>
      <c r="CQ55" s="229"/>
      <c r="CR55" s="229"/>
      <c r="CS55" s="229"/>
      <c r="CT55" s="229"/>
      <c r="CU55" s="229"/>
      <c r="CV55" s="229"/>
      <c r="CW55" s="229"/>
      <c r="CX55" s="229"/>
      <c r="CY55" s="229"/>
      <c r="CZ55" s="229"/>
      <c r="DA55" s="229"/>
      <c r="DB55" s="229"/>
      <c r="DC55" s="229"/>
      <c r="DD55" s="229"/>
      <c r="DE55" s="229"/>
      <c r="DF55" s="229"/>
      <c r="DG55" s="229"/>
      <c r="DH55" s="229"/>
    </row>
    <row r="56" spans="2:112" x14ac:dyDescent="0.25">
      <c r="B56" s="36"/>
      <c r="C56" s="1"/>
      <c r="D56" s="1"/>
      <c r="E56" s="156" t="str">
        <f>HYPERLINK(BG64,BK64)</f>
        <v>Overzethoek</v>
      </c>
      <c r="F56" s="53">
        <f>BL64</f>
        <v>8</v>
      </c>
      <c r="G56" s="42"/>
      <c r="H56" s="11"/>
      <c r="I56" s="11"/>
      <c r="J56" s="20"/>
      <c r="K56" s="22"/>
      <c r="L56" s="1"/>
      <c r="M56" s="1"/>
      <c r="N56" s="36"/>
      <c r="O56" s="1"/>
      <c r="Q56" s="156" t="str">
        <f>HYPERLINK(BT64,BX64)</f>
        <v>Overzethoek R5</v>
      </c>
      <c r="R56" s="53">
        <f>BL64</f>
        <v>8</v>
      </c>
      <c r="S56" s="145"/>
      <c r="T56" s="76"/>
      <c r="U56" s="76"/>
      <c r="V56" s="20"/>
      <c r="Y56" s="36"/>
      <c r="Z56" s="1"/>
      <c r="AB56" s="156" t="str">
        <f>HYPERLINK(CG46,CJ46)</f>
        <v>Platte hoek, 49mm</v>
      </c>
      <c r="AC56" s="53">
        <f>CK46</f>
        <v>4</v>
      </c>
      <c r="AD56" s="42"/>
      <c r="AE56" s="11"/>
      <c r="AF56" s="11"/>
      <c r="AG56" s="20"/>
      <c r="AH56" s="137"/>
      <c r="BD56" s="42"/>
      <c r="BO56" s="132"/>
      <c r="BQ56" s="42"/>
      <c r="CB56" s="132"/>
      <c r="CD56" t="s">
        <v>199</v>
      </c>
      <c r="CE56">
        <f>Standaard!S6</f>
        <v>600</v>
      </c>
      <c r="CG56" t="str">
        <f>IF(CE56&lt;=Formules!CE54,Formules!CG54,Formules!CG55)</f>
        <v>http://www.zelfbouwcase.nl/volledige-productgroepen/plaatmateriaal/overig-plaatmateriaal-1/dekselpaneel-voor-slam-lidcases.html</v>
      </c>
      <c r="CJ56" t="str">
        <f>IF(CE56&lt;=Formules!CE54,Formules!CJ54,Formules!CJ55)</f>
        <v>Deksel voor 1 sluiting</v>
      </c>
      <c r="CN56" s="132"/>
      <c r="CP56" s="229"/>
      <c r="CQ56" s="229"/>
      <c r="CR56" s="229"/>
      <c r="CS56" s="229"/>
      <c r="CT56" s="229"/>
      <c r="CU56" s="229"/>
      <c r="CV56" s="229"/>
      <c r="CW56" s="229"/>
      <c r="CX56" s="229"/>
      <c r="CY56" s="229"/>
      <c r="CZ56" s="229"/>
      <c r="DA56" s="229"/>
      <c r="DB56" s="229"/>
      <c r="DC56" s="229"/>
      <c r="DD56" s="229"/>
      <c r="DE56" s="229"/>
      <c r="DF56" s="229"/>
      <c r="DG56" s="229"/>
      <c r="DH56" s="229"/>
    </row>
    <row r="57" spans="2:112" x14ac:dyDescent="0.25">
      <c r="B57" s="36"/>
      <c r="C57" s="1"/>
      <c r="D57" s="1"/>
      <c r="E57" s="131" t="str">
        <f>HYPERLINK(BG70,BK70)</f>
        <v>Grote balhoek</v>
      </c>
      <c r="F57" s="53">
        <f>BL70</f>
        <v>8</v>
      </c>
      <c r="G57" s="184"/>
      <c r="H57" s="189"/>
      <c r="I57" s="189"/>
      <c r="J57" s="20"/>
      <c r="K57" s="1"/>
      <c r="L57" s="1"/>
      <c r="M57" s="9"/>
      <c r="N57" s="36"/>
      <c r="O57" s="1"/>
      <c r="Q57" s="156" t="str">
        <f>HYPERLINK(BT70,BX70)</f>
        <v>Grote balhoek R5</v>
      </c>
      <c r="R57" s="53">
        <f>BY70</f>
        <v>8</v>
      </c>
      <c r="S57" s="187"/>
      <c r="T57" s="188"/>
      <c r="U57" s="188"/>
      <c r="V57" s="20"/>
      <c r="Y57" s="36"/>
      <c r="Z57" s="1"/>
      <c r="AB57" s="156" t="str">
        <f>HYPERLINK(CG47,CJ47)</f>
        <v>Platte hoek, Slam-lid</v>
      </c>
      <c r="AC57" s="53">
        <f>CK47</f>
        <v>4</v>
      </c>
      <c r="AD57" s="184"/>
      <c r="AE57" s="189"/>
      <c r="AF57" s="189"/>
      <c r="AG57" s="20"/>
      <c r="AH57" s="137"/>
      <c r="BC57" s="122" t="s">
        <v>113</v>
      </c>
      <c r="BD57" s="122"/>
      <c r="BE57" s="42"/>
      <c r="BF57" s="42"/>
      <c r="BG57" s="47" t="s">
        <v>78</v>
      </c>
      <c r="BH57" s="47"/>
      <c r="BI57" s="47"/>
      <c r="BJ57" s="291" t="s">
        <v>79</v>
      </c>
      <c r="BK57" s="47" t="s">
        <v>55</v>
      </c>
      <c r="BO57" s="132"/>
      <c r="BP57" s="122" t="s">
        <v>113</v>
      </c>
      <c r="BQ57" s="122"/>
      <c r="BR57" s="42"/>
      <c r="BS57" s="42"/>
      <c r="BT57" s="47" t="s">
        <v>78</v>
      </c>
      <c r="BU57" s="47"/>
      <c r="BV57" s="47" t="s">
        <v>79</v>
      </c>
      <c r="BW57" s="47"/>
      <c r="BX57" s="47" t="s">
        <v>55</v>
      </c>
      <c r="CB57" s="132"/>
      <c r="CN57" s="132"/>
      <c r="CP57" s="229"/>
      <c r="CQ57" s="229"/>
      <c r="CR57" s="229"/>
      <c r="CS57" s="229"/>
      <c r="CT57" s="229"/>
      <c r="CU57" s="229"/>
      <c r="CV57" s="229"/>
      <c r="CW57" s="229"/>
      <c r="CX57" s="229"/>
      <c r="CY57" s="229"/>
      <c r="CZ57" s="229"/>
      <c r="DA57" s="229"/>
      <c r="DB57" s="229"/>
      <c r="DC57" s="229"/>
      <c r="DD57" s="229"/>
      <c r="DE57" s="229"/>
      <c r="DF57" s="229"/>
      <c r="DG57" s="229"/>
      <c r="DH57" s="229"/>
    </row>
    <row r="58" spans="2:112" x14ac:dyDescent="0.25">
      <c r="B58" s="36"/>
      <c r="C58" s="1"/>
      <c r="D58" s="1"/>
      <c r="E58" s="131" t="str">
        <f>HYPERLINK(BG71,BK71)</f>
        <v/>
      </c>
      <c r="F58" s="53" t="str">
        <f>BL71</f>
        <v/>
      </c>
      <c r="H58" s="184"/>
      <c r="I58" s="184"/>
      <c r="J58" s="20"/>
      <c r="K58" s="1"/>
      <c r="L58" s="1"/>
      <c r="M58" s="9"/>
      <c r="N58" s="36"/>
      <c r="O58" s="1"/>
      <c r="Q58" s="156" t="str">
        <f>HYPERLINK(BT71,BX71)</f>
        <v/>
      </c>
      <c r="R58" s="53" t="str">
        <f>BY71</f>
        <v/>
      </c>
      <c r="S58" s="74"/>
      <c r="T58" s="187"/>
      <c r="U58" s="187"/>
      <c r="V58" s="20"/>
      <c r="Y58" s="36"/>
      <c r="Z58" s="1"/>
      <c r="AE58" s="184"/>
      <c r="AF58" s="184"/>
      <c r="AG58" s="20"/>
      <c r="AH58" s="137"/>
      <c r="BD58" t="str">
        <f>BG21</f>
        <v>Scharnierend deksel</v>
      </c>
      <c r="BG58">
        <v>500</v>
      </c>
      <c r="BJ58" s="288">
        <v>1</v>
      </c>
      <c r="BK58">
        <v>2</v>
      </c>
      <c r="BO58" s="132"/>
      <c r="BQ58" t="str">
        <f>BT21</f>
        <v>Scharnierend deksel</v>
      </c>
      <c r="BT58">
        <v>500</v>
      </c>
      <c r="BV58">
        <v>1</v>
      </c>
      <c r="BX58">
        <v>2</v>
      </c>
      <c r="CB58" s="132"/>
      <c r="CN58" s="132"/>
      <c r="CP58" s="229"/>
      <c r="CQ58" s="229"/>
      <c r="CR58" s="229"/>
      <c r="CS58" s="229"/>
      <c r="CT58" s="229"/>
      <c r="CU58" s="229"/>
      <c r="CV58" s="229"/>
      <c r="CW58" s="229"/>
      <c r="CX58" s="229"/>
      <c r="CY58" s="229"/>
      <c r="CZ58" s="229"/>
      <c r="DA58" s="229"/>
      <c r="DB58" s="229"/>
      <c r="DC58" s="229"/>
      <c r="DD58" s="229"/>
      <c r="DE58" s="229"/>
      <c r="DF58" s="229"/>
      <c r="DG58" s="229"/>
      <c r="DH58" s="229"/>
    </row>
    <row r="59" spans="2:112" x14ac:dyDescent="0.25">
      <c r="B59" s="36"/>
      <c r="C59" s="1"/>
      <c r="D59" s="1"/>
      <c r="E59" s="1"/>
      <c r="F59" s="53"/>
      <c r="G59" s="1"/>
      <c r="H59" s="1"/>
      <c r="J59" s="20"/>
      <c r="K59" s="1"/>
      <c r="L59" s="1"/>
      <c r="M59" s="9"/>
      <c r="N59" s="36"/>
      <c r="O59" s="1"/>
      <c r="P59" s="1"/>
      <c r="Q59" s="53"/>
      <c r="R59" s="53"/>
      <c r="S59" s="146"/>
      <c r="T59" s="146"/>
      <c r="U59" s="74"/>
      <c r="V59" s="20"/>
      <c r="Y59" s="36"/>
      <c r="Z59" s="1"/>
      <c r="AA59" s="1"/>
      <c r="AB59" s="53"/>
      <c r="AC59" s="53"/>
      <c r="AD59" s="1"/>
      <c r="AE59" s="1"/>
      <c r="AG59" s="20"/>
      <c r="AH59" s="137"/>
      <c r="BD59" t="str">
        <f>BG22</f>
        <v>Afneembaar deksel</v>
      </c>
      <c r="BG59">
        <v>500</v>
      </c>
      <c r="BJ59" s="288">
        <v>2</v>
      </c>
      <c r="BK59">
        <v>4</v>
      </c>
      <c r="BO59" s="132"/>
      <c r="BQ59" t="str">
        <f>BT22</f>
        <v>Afneembaar deksel</v>
      </c>
      <c r="BT59">
        <v>500</v>
      </c>
      <c r="BV59">
        <v>2</v>
      </c>
      <c r="BX59">
        <v>4</v>
      </c>
      <c r="CB59" s="132"/>
      <c r="CN59" s="132"/>
      <c r="CP59" s="229"/>
      <c r="CQ59" s="229"/>
      <c r="CR59" s="229"/>
      <c r="CS59" s="229"/>
      <c r="CT59" s="229"/>
      <c r="CU59" s="229"/>
      <c r="CV59" s="229"/>
      <c r="CW59" s="229"/>
      <c r="CX59" s="229"/>
      <c r="CY59" s="229"/>
      <c r="CZ59" s="229"/>
      <c r="DA59" s="229"/>
      <c r="DB59" s="229"/>
      <c r="DC59" s="229"/>
      <c r="DD59" s="229"/>
      <c r="DE59" s="229"/>
      <c r="DF59" s="229"/>
      <c r="DG59" s="229"/>
      <c r="DH59" s="229"/>
    </row>
    <row r="60" spans="2:112" x14ac:dyDescent="0.25">
      <c r="B60" s="36"/>
      <c r="C60" s="1"/>
      <c r="D60" s="1"/>
      <c r="E60" s="38" t="s">
        <v>53</v>
      </c>
      <c r="F60" s="72"/>
      <c r="G60" s="351"/>
      <c r="H60" s="352"/>
      <c r="I60" s="352"/>
      <c r="J60" s="20"/>
      <c r="K60" s="1"/>
      <c r="L60" s="1"/>
      <c r="M60" s="9"/>
      <c r="N60" s="36"/>
      <c r="O60" s="1"/>
      <c r="Q60" s="38" t="s">
        <v>53</v>
      </c>
      <c r="R60" s="72"/>
      <c r="S60" s="379"/>
      <c r="T60" s="380"/>
      <c r="U60" s="380"/>
      <c r="V60" s="20"/>
      <c r="Y60" s="36"/>
      <c r="Z60" s="1"/>
      <c r="AB60" s="38" t="s">
        <v>200</v>
      </c>
      <c r="AC60" s="72"/>
      <c r="AD60" s="351"/>
      <c r="AE60" s="352"/>
      <c r="AF60" s="352"/>
      <c r="AG60" s="20"/>
      <c r="AH60" s="137"/>
      <c r="BD60" s="42" t="s">
        <v>80</v>
      </c>
      <c r="BE60" s="130">
        <f>IF(Standaard!D23=BD58,IF(BH26&lt;BG58,BJ58,BK58),IF(Standaard!D23=BD59,IF(BH26&lt;BG59,BJ59,BK59),"niet gevonden"))</f>
        <v>2</v>
      </c>
      <c r="BO60" s="132"/>
      <c r="BQ60" s="42" t="s">
        <v>80</v>
      </c>
      <c r="BR60" s="130">
        <f>IF(Standaard!P25=BQ58,IF(BU26&lt;BT58,BV58,BX58),IF(Standaard!P25=BQ59,IF(BU26&lt;BT59,BV59,BX59),"niet gevonden"))</f>
        <v>2</v>
      </c>
      <c r="CB60" s="132"/>
      <c r="CN60" s="132"/>
      <c r="CP60" s="229"/>
      <c r="CQ60" s="229"/>
      <c r="CR60" s="229"/>
      <c r="CS60" s="229"/>
      <c r="CT60" s="229"/>
      <c r="CU60" s="229"/>
      <c r="CV60" s="229"/>
      <c r="CW60" s="229"/>
      <c r="CX60" s="229"/>
      <c r="CY60" s="229"/>
      <c r="CZ60" s="229"/>
      <c r="DA60" s="229"/>
      <c r="DB60" s="229"/>
      <c r="DC60" s="229"/>
      <c r="DD60" s="229"/>
      <c r="DE60" s="229"/>
      <c r="DF60" s="229"/>
      <c r="DG60" s="229"/>
      <c r="DH60" s="229"/>
    </row>
    <row r="61" spans="2:112" x14ac:dyDescent="0.25">
      <c r="B61" s="36"/>
      <c r="C61" s="1"/>
      <c r="D61" s="1"/>
      <c r="E61" s="42" t="s">
        <v>31</v>
      </c>
      <c r="F61" s="42" t="s">
        <v>32</v>
      </c>
      <c r="G61" s="42"/>
      <c r="H61" s="11"/>
      <c r="I61" s="11"/>
      <c r="J61" s="20"/>
      <c r="K61" s="1"/>
      <c r="L61" s="1"/>
      <c r="M61" s="9"/>
      <c r="N61" s="36"/>
      <c r="O61" s="1"/>
      <c r="Q61" s="42" t="s">
        <v>31</v>
      </c>
      <c r="R61" s="42" t="s">
        <v>32</v>
      </c>
      <c r="S61" s="145"/>
      <c r="T61" s="76"/>
      <c r="U61" s="76"/>
      <c r="V61" s="20"/>
      <c r="Y61" s="36"/>
      <c r="Z61" s="1"/>
      <c r="AB61" s="42" t="s">
        <v>31</v>
      </c>
      <c r="AC61" s="42" t="s">
        <v>32</v>
      </c>
      <c r="AD61" s="42" t="s">
        <v>202</v>
      </c>
      <c r="AE61" s="11"/>
      <c r="AF61" s="11"/>
      <c r="AG61" s="20"/>
      <c r="AH61" s="137"/>
      <c r="BD61" s="42" t="s">
        <v>81</v>
      </c>
      <c r="BE61" s="130">
        <f>IF(Standaard!D23=BD58,2,"")</f>
        <v>2</v>
      </c>
      <c r="BF61" s="130"/>
      <c r="BG61" s="130" t="str">
        <f>IF(Standaard!D23=BD58,"http://www.zelfbouwcase.nl/volledige-productgroepen/sluitingen-en-scharnieren/scharnieren.html","")</f>
        <v>http://www.zelfbouwcase.nl/volledige-productgroepen/sluitingen-en-scharnieren/scharnieren.html</v>
      </c>
      <c r="BH61" s="130"/>
      <c r="BI61" s="130"/>
      <c r="BJ61" s="292"/>
      <c r="BK61" s="130" t="str">
        <f>IF(Standaard!D23=BD58,IF(BK52=BD50,"Middelgrote scharnieren","Grote scharnieren"),"")</f>
        <v>Middelgrote scharnieren</v>
      </c>
      <c r="BO61" s="132"/>
      <c r="BQ61" s="42" t="s">
        <v>81</v>
      </c>
      <c r="BR61" s="130">
        <f>IF(BT23,2,"")</f>
        <v>2</v>
      </c>
      <c r="BS61" s="130"/>
      <c r="BT61" s="130" t="str">
        <f>IF(Standaard!P23=BQ58,"http://www.zelfbouwcase.nl/volledige-productgroepen/sluitingen-en-scharnieren/scharnieren.html","")</f>
        <v/>
      </c>
      <c r="BU61" s="130"/>
      <c r="BV61" s="130"/>
      <c r="BW61" s="130"/>
      <c r="BX61" s="130" t="str">
        <f>IF(Standaard!P23=BQ58,IF(BX52=BQ50,"Middelgrote scharnieren","Grote scharnieren"),"")</f>
        <v/>
      </c>
      <c r="CB61" s="132"/>
      <c r="CN61" s="132"/>
    </row>
    <row r="62" spans="2:112" x14ac:dyDescent="0.25">
      <c r="B62" s="36"/>
      <c r="C62" s="1"/>
      <c r="D62" s="1"/>
      <c r="E62" s="156" t="str">
        <f>HYPERLINK(BG52,BK52)</f>
        <v>Middelgrote sluitingen (±10x10cm)</v>
      </c>
      <c r="F62" s="161">
        <f>BE60</f>
        <v>2</v>
      </c>
      <c r="H62" s="156"/>
      <c r="I62" s="156"/>
      <c r="J62" s="20"/>
      <c r="K62" s="1"/>
      <c r="L62" s="1"/>
      <c r="M62" s="9"/>
      <c r="N62" s="36"/>
      <c r="O62" s="1"/>
      <c r="Q62" s="156" t="str">
        <f>HYPERLINK(BT52,BX52)</f>
        <v>Grote sluitingen (±13x18cm)</v>
      </c>
      <c r="R62" s="161">
        <f>BE60</f>
        <v>2</v>
      </c>
      <c r="S62" s="74"/>
      <c r="T62" s="149"/>
      <c r="U62" s="149"/>
      <c r="V62" s="20"/>
      <c r="Y62" s="36"/>
      <c r="Z62" s="1"/>
      <c r="AB62" s="156" t="str">
        <f>HYPERLINK(CG51,CJ51)</f>
        <v>Smal pianoscharnier, 1mm</v>
      </c>
      <c r="AC62" s="53">
        <v>1</v>
      </c>
      <c r="AD62" s="172">
        <f>CE121</f>
        <v>505.6</v>
      </c>
      <c r="AE62" s="156"/>
      <c r="AF62" s="156"/>
      <c r="AG62" s="20"/>
      <c r="AH62" s="137"/>
      <c r="BE62" s="47" t="s">
        <v>50</v>
      </c>
      <c r="BF62" s="47"/>
      <c r="BO62" s="132"/>
      <c r="BR62" s="47" t="s">
        <v>50</v>
      </c>
      <c r="BS62" s="47"/>
      <c r="CB62" s="132"/>
      <c r="CN62" s="132"/>
    </row>
    <row r="63" spans="2:112" x14ac:dyDescent="0.25">
      <c r="B63" s="36"/>
      <c r="C63" s="1"/>
      <c r="D63" s="1"/>
      <c r="E63" s="156" t="str">
        <f>HYPERLINK(BG61,BK61)</f>
        <v>Middelgrote scharnieren</v>
      </c>
      <c r="F63" s="53">
        <f>BE61</f>
        <v>2</v>
      </c>
      <c r="H63" s="184"/>
      <c r="I63" s="184"/>
      <c r="J63" s="20"/>
      <c r="K63" s="1"/>
      <c r="L63" s="1"/>
      <c r="M63" s="9"/>
      <c r="N63" s="36"/>
      <c r="O63" s="1"/>
      <c r="Q63" s="156" t="str">
        <f>HYPERLINK(BG61,BK61)</f>
        <v>Middelgrote scharnieren</v>
      </c>
      <c r="R63" s="53">
        <f>BE61</f>
        <v>2</v>
      </c>
      <c r="S63" s="74"/>
      <c r="T63" s="187"/>
      <c r="U63" s="187"/>
      <c r="V63" s="20"/>
      <c r="Y63" s="36"/>
      <c r="Z63" s="1"/>
      <c r="AB63" s="156"/>
      <c r="AE63" s="184"/>
      <c r="AF63" s="184"/>
      <c r="AG63" s="20"/>
      <c r="AH63" s="137"/>
      <c r="BC63" s="122" t="s">
        <v>43</v>
      </c>
      <c r="BD63" s="122"/>
      <c r="BE63" s="47" t="s">
        <v>57</v>
      </c>
      <c r="BF63" s="47"/>
      <c r="BK63" s="42" t="s">
        <v>83</v>
      </c>
      <c r="BL63" s="42" t="s">
        <v>32</v>
      </c>
      <c r="BM63" t="s">
        <v>126</v>
      </c>
      <c r="BN63" t="s">
        <v>127</v>
      </c>
      <c r="BO63" s="132"/>
      <c r="BP63" s="122" t="s">
        <v>43</v>
      </c>
      <c r="BQ63" s="122"/>
      <c r="BR63" s="47" t="s">
        <v>57</v>
      </c>
      <c r="BS63" s="47"/>
      <c r="BX63" s="42" t="s">
        <v>83</v>
      </c>
      <c r="BY63" s="42" t="s">
        <v>32</v>
      </c>
      <c r="BZ63" t="s">
        <v>126</v>
      </c>
      <c r="CA63" t="s">
        <v>127</v>
      </c>
      <c r="CB63" s="132"/>
      <c r="CN63" s="132"/>
    </row>
    <row r="64" spans="2:112" x14ac:dyDescent="0.25">
      <c r="B64" s="36"/>
      <c r="C64" s="1"/>
      <c r="D64" s="1"/>
      <c r="E64" s="1"/>
      <c r="F64" s="1"/>
      <c r="G64" s="11"/>
      <c r="H64" s="11"/>
      <c r="I64" s="11"/>
      <c r="J64" s="20"/>
      <c r="K64" s="1"/>
      <c r="L64" s="1"/>
      <c r="M64" s="9"/>
      <c r="N64" s="36"/>
      <c r="O64" s="1"/>
      <c r="P64" s="1"/>
      <c r="Q64" s="1"/>
      <c r="R64" s="1"/>
      <c r="S64" s="76"/>
      <c r="T64" s="76"/>
      <c r="U64" s="76"/>
      <c r="V64" s="20"/>
      <c r="Y64" s="36"/>
      <c r="Z64" s="1"/>
      <c r="AA64" s="1"/>
      <c r="AB64" s="1"/>
      <c r="AC64" s="1"/>
      <c r="AD64" s="11"/>
      <c r="AE64" s="11"/>
      <c r="AF64" s="11"/>
      <c r="AG64" s="20"/>
      <c r="AH64" s="137"/>
      <c r="BD64" t="s">
        <v>24</v>
      </c>
      <c r="BF64" s="47"/>
      <c r="BG64" s="58" t="s">
        <v>142</v>
      </c>
      <c r="BJ64" s="294"/>
      <c r="BK64" t="str">
        <f>BD64</f>
        <v>Overzethoek</v>
      </c>
      <c r="BL64" s="130">
        <v>8</v>
      </c>
      <c r="BM64" s="130">
        <v>2</v>
      </c>
      <c r="BN64" s="130">
        <v>2</v>
      </c>
      <c r="BO64" s="132"/>
      <c r="BQ64" t="s">
        <v>160</v>
      </c>
      <c r="BS64" s="47"/>
      <c r="BT64" s="58" t="s">
        <v>254</v>
      </c>
      <c r="BX64" t="str">
        <f>BQ64</f>
        <v>Overzethoek R5</v>
      </c>
      <c r="BY64" s="130">
        <v>8</v>
      </c>
      <c r="BZ64" s="130">
        <v>2</v>
      </c>
      <c r="CA64" s="130">
        <v>2</v>
      </c>
      <c r="CB64" s="132"/>
      <c r="CN64" s="132"/>
    </row>
    <row r="65" spans="1:92" x14ac:dyDescent="0.25">
      <c r="B65" s="36"/>
      <c r="C65" s="1"/>
      <c r="D65" s="1"/>
      <c r="E65" s="83" t="str">
        <f>IF(N(S10)&lt;&gt;0,HYPERLINK(BG80,BK80),"Geen schuim")</f>
        <v>Hardschuim 10mm</v>
      </c>
      <c r="F65" s="38"/>
      <c r="G65" s="38"/>
      <c r="H65" s="38"/>
      <c r="I65" s="38"/>
      <c r="J65" s="20"/>
      <c r="K65" s="1"/>
      <c r="L65" s="1"/>
      <c r="M65" s="9"/>
      <c r="N65" s="36"/>
      <c r="O65" s="1"/>
      <c r="Q65" s="83" t="str">
        <f>IF(N(S10)&lt;&gt;0,HYPERLINK(BG80,BK80),"Geen schuim")</f>
        <v>Hardschuim 10mm</v>
      </c>
      <c r="R65" s="38"/>
      <c r="S65" s="144"/>
      <c r="T65" s="144"/>
      <c r="U65" s="144"/>
      <c r="V65" s="20"/>
      <c r="Y65" s="36"/>
      <c r="Z65" s="1"/>
      <c r="AB65" s="83" t="str">
        <f>IF(N(S10)&lt;&gt;0,HYPERLINK(BG80,BK80),"Geen schuim")</f>
        <v>Hardschuim 10mm</v>
      </c>
      <c r="AC65" s="38"/>
      <c r="AD65" s="38"/>
      <c r="AE65" s="38"/>
      <c r="AF65" s="38"/>
      <c r="AG65" s="20"/>
      <c r="AH65" s="137"/>
      <c r="BD65" t="s">
        <v>23</v>
      </c>
      <c r="BE65" s="74">
        <v>50</v>
      </c>
      <c r="BF65" s="74"/>
      <c r="BG65" s="58" t="s">
        <v>129</v>
      </c>
      <c r="BH65" s="58"/>
      <c r="BI65" s="58"/>
      <c r="BJ65" s="294"/>
      <c r="BK65" t="str">
        <f>BD65</f>
        <v>Platte hoek</v>
      </c>
      <c r="BL65">
        <v>8</v>
      </c>
      <c r="BM65">
        <v>3</v>
      </c>
      <c r="BN65">
        <v>0</v>
      </c>
      <c r="BO65" s="132"/>
      <c r="BQ65" t="s">
        <v>161</v>
      </c>
      <c r="BR65" s="74">
        <v>50</v>
      </c>
      <c r="BS65" s="74"/>
      <c r="BT65" s="58" t="s">
        <v>255</v>
      </c>
      <c r="BU65" s="58"/>
      <c r="BV65" s="58"/>
      <c r="BW65" s="58"/>
      <c r="BX65" t="str">
        <f>BQ65</f>
        <v>Platte hoek R5</v>
      </c>
      <c r="BY65">
        <v>8</v>
      </c>
      <c r="BZ65">
        <v>3</v>
      </c>
      <c r="CA65">
        <v>0</v>
      </c>
      <c r="CB65" s="132"/>
      <c r="CN65" s="132"/>
    </row>
    <row r="66" spans="1:92" x14ac:dyDescent="0.25">
      <c r="B66" s="36"/>
      <c r="E66" s="42" t="str">
        <f>IF(N($S10)&lt;&gt;0,"Omschrijving","")</f>
        <v>Omschrijving</v>
      </c>
      <c r="F66" s="42" t="str">
        <f>IF(N($S10)&lt;&gt;0,"Aantal","")</f>
        <v>Aantal</v>
      </c>
      <c r="G66" s="42" t="str">
        <f>IF(N($S10)&lt;&gt;0,"Lengte","")</f>
        <v>Lengte</v>
      </c>
      <c r="H66" s="42"/>
      <c r="I66" s="47" t="str">
        <f>IF(N($S10)&lt;&gt;0,"Breedte","")</f>
        <v>Breedte</v>
      </c>
      <c r="J66" s="20"/>
      <c r="K66" s="22"/>
      <c r="L66" s="1"/>
      <c r="N66" s="36"/>
      <c r="O66"/>
      <c r="Q66" s="42" t="str">
        <f>IF(N($S10)&lt;&gt;0,"Omschrijving","")</f>
        <v>Omschrijving</v>
      </c>
      <c r="R66" s="42" t="str">
        <f>IF(N($S10)&lt;&gt;0,"Aantal","")</f>
        <v>Aantal</v>
      </c>
      <c r="S66" s="145" t="str">
        <f>IF(N($S10)&lt;&gt;0,"Lengte","")</f>
        <v>Lengte</v>
      </c>
      <c r="T66" s="145"/>
      <c r="U66" s="150" t="str">
        <f>IF(N($S10)&lt;&gt;0,"Breedte","")</f>
        <v>Breedte</v>
      </c>
      <c r="V66" s="20"/>
      <c r="W66" s="1"/>
      <c r="Y66" s="36"/>
      <c r="AB66" s="42" t="str">
        <f>IF(N($S10)&lt;&gt;0,"Omschrijving","")</f>
        <v>Omschrijving</v>
      </c>
      <c r="AC66" s="42" t="str">
        <f>IF(N($S10)&lt;&gt;0,"Aantal","")</f>
        <v>Aantal</v>
      </c>
      <c r="AD66" s="42" t="str">
        <f>IF(N($S10)&lt;&gt;0,"Lengte","")</f>
        <v>Lengte</v>
      </c>
      <c r="AE66" s="42"/>
      <c r="AF66" s="47" t="str">
        <f>IF(N($S10)&lt;&gt;0,"Breedte","")</f>
        <v>Breedte</v>
      </c>
      <c r="AG66" s="20"/>
      <c r="AH66" s="137"/>
      <c r="BD66" t="s">
        <v>47</v>
      </c>
      <c r="BE66">
        <v>60</v>
      </c>
      <c r="BG66" s="58" t="s">
        <v>239</v>
      </c>
      <c r="BJ66" s="294"/>
      <c r="BK66" t="str">
        <f>IF(AND(BH$29&gt;=BE66,BH$28-BH$29&gt;=BE66),BD66,"")</f>
        <v>Middelgrote balhoek</v>
      </c>
      <c r="BL66">
        <v>8</v>
      </c>
      <c r="BM66">
        <v>3</v>
      </c>
      <c r="BN66">
        <v>0</v>
      </c>
      <c r="BO66" s="132"/>
      <c r="BQ66" t="s">
        <v>238</v>
      </c>
      <c r="BR66">
        <v>60</v>
      </c>
      <c r="BT66" s="58" t="s">
        <v>243</v>
      </c>
      <c r="BX66" t="str">
        <f>IF(AND(BU$29&gt;=BR66,BU$28-BU$29&gt;=BR66),BQ66,"")</f>
        <v>Middelgrote balhoek R5</v>
      </c>
      <c r="BY66">
        <v>8</v>
      </c>
      <c r="BZ66">
        <v>3</v>
      </c>
      <c r="CA66">
        <v>0</v>
      </c>
      <c r="CB66" s="132"/>
      <c r="CN66" s="132"/>
    </row>
    <row r="67" spans="1:92" x14ac:dyDescent="0.25">
      <c r="B67" s="36"/>
      <c r="C67" s="1"/>
      <c r="D67" s="1"/>
      <c r="E67" s="129" t="str">
        <f>IF(N($S10)&lt;&gt;0,"      Bodem/dekselplaat","")</f>
        <v xml:space="preserve">      Bodem/dekselplaat</v>
      </c>
      <c r="F67" s="185">
        <f>IF(N($S10)&lt;&gt;0,2,"")</f>
        <v>2</v>
      </c>
      <c r="G67" s="48">
        <f>IF(N($S10)&lt;&gt;0,$S6+2*N($S10),"")</f>
        <v>620</v>
      </c>
      <c r="H67" s="53" t="str">
        <f>IF(N(S$10)&lt;&gt;0,"x","")</f>
        <v>x</v>
      </c>
      <c r="I67" s="171">
        <f>IF(N($S10)&lt;&gt;0,G37,"")</f>
        <v>420</v>
      </c>
      <c r="J67" s="20"/>
      <c r="K67" s="22"/>
      <c r="L67" s="1"/>
      <c r="N67" s="36"/>
      <c r="O67" s="1"/>
      <c r="Q67" s="129" t="str">
        <f>IF(N($S10)&lt;&gt;0,"      Bodem/dekselplaat","")</f>
        <v xml:space="preserve">      Bodem/dekselplaat</v>
      </c>
      <c r="R67" s="185">
        <f>IF(N($S10)&lt;&gt;0,2,"")</f>
        <v>2</v>
      </c>
      <c r="S67" s="157">
        <f>IF(N($S10)&lt;&gt;0,$S6+2*N($S10),"")</f>
        <v>620</v>
      </c>
      <c r="T67" s="143" t="str">
        <f>IF(N(S$10)&lt;&gt;0,"x","")</f>
        <v>x</v>
      </c>
      <c r="U67" s="171">
        <f>IF(N($S10)&lt;&gt;0,S37,"")</f>
        <v>420</v>
      </c>
      <c r="V67" s="20"/>
      <c r="Y67" s="36"/>
      <c r="Z67" s="1"/>
      <c r="AB67" s="129" t="str">
        <f>IF(N($S10)&lt;&gt;0,"      Bodem","")</f>
        <v xml:space="preserve">      Bodem</v>
      </c>
      <c r="AC67" s="185">
        <f>IF(N($S10)&lt;&gt;0,1,"")</f>
        <v>1</v>
      </c>
      <c r="AD67" s="48">
        <f>IF(N($S10)&lt;&gt;0,$S6+2*N($S10),"")</f>
        <v>620</v>
      </c>
      <c r="AE67" s="53" t="str">
        <f>IF(N(S$10)&lt;&gt;0,"x","")</f>
        <v>x</v>
      </c>
      <c r="AF67" s="3">
        <f>IF(N($S10)&lt;&gt;0,AD38,"")</f>
        <v>420</v>
      </c>
      <c r="AG67" s="20"/>
      <c r="AH67" s="137"/>
      <c r="BD67" t="s">
        <v>237</v>
      </c>
      <c r="BE67">
        <v>60</v>
      </c>
      <c r="BG67" s="58" t="s">
        <v>240</v>
      </c>
      <c r="BJ67" s="294"/>
      <c r="BK67" t="str">
        <f>IF(AND(BH$29&gt;=BE67,BH$28-BH$29&gt;=BE67),BD67,"")</f>
        <v>Middelgr. balhoek, stapelb.</v>
      </c>
      <c r="BL67">
        <v>4</v>
      </c>
      <c r="BM67">
        <v>3</v>
      </c>
      <c r="BN67">
        <v>0</v>
      </c>
      <c r="BO67" s="132"/>
      <c r="BQ67" t="s">
        <v>244</v>
      </c>
      <c r="BR67">
        <v>60</v>
      </c>
      <c r="BT67" s="58" t="s">
        <v>245</v>
      </c>
      <c r="BX67" t="str">
        <f>IF(AND(BU$29&gt;=BR67,BU$28-BU$29&gt;=BR67),BQ67,"")</f>
        <v>Middelgr. balhoek, stapelb. R5</v>
      </c>
      <c r="BY67">
        <v>4</v>
      </c>
      <c r="BZ67">
        <v>3</v>
      </c>
      <c r="CA67">
        <v>0</v>
      </c>
      <c r="CB67" s="132"/>
      <c r="CN67" s="132"/>
    </row>
    <row r="68" spans="1:92" x14ac:dyDescent="0.25">
      <c r="B68" s="36"/>
      <c r="C68" s="1"/>
      <c r="D68" s="1"/>
      <c r="E68" s="129" t="str">
        <f>IF(N($S10)&lt;&gt;0,"      Korte zijwand boven","")</f>
        <v xml:space="preserve">      Korte zijwand boven</v>
      </c>
      <c r="F68" s="185">
        <f>IF(N($S10)&lt;&gt;0,2,"")</f>
        <v>2</v>
      </c>
      <c r="G68" s="48">
        <f>IF(N($S10)&lt;&gt;0,$S7,"")</f>
        <v>400</v>
      </c>
      <c r="H68" s="53" t="str">
        <f>IF(N(S$10)&lt;&gt;0,"x","")</f>
        <v>x</v>
      </c>
      <c r="I68" s="171">
        <f>IF(N($S10)&lt;&gt;0,BE123,"")</f>
        <v>59</v>
      </c>
      <c r="J68" s="20"/>
      <c r="K68" s="22"/>
      <c r="L68" s="1"/>
      <c r="N68" s="36"/>
      <c r="O68" s="1"/>
      <c r="Q68" s="129" t="str">
        <f>IF(N($S10)&lt;&gt;0,"      Korte zijwand boven","")</f>
        <v xml:space="preserve">      Korte zijwand boven</v>
      </c>
      <c r="R68" s="185">
        <f>IF(N($S10)&lt;&gt;0,2,"")</f>
        <v>2</v>
      </c>
      <c r="S68" s="157">
        <f>IF(N($S10)&lt;&gt;0,$S7,"")</f>
        <v>400</v>
      </c>
      <c r="T68" s="143" t="str">
        <f>IF(N(S$10)&lt;&gt;0,"x","")</f>
        <v>x</v>
      </c>
      <c r="U68" s="171">
        <f>IF(N($S10)&lt;&gt;0,BR123,"")</f>
        <v>58</v>
      </c>
      <c r="V68" s="20"/>
      <c r="Y68" s="36"/>
      <c r="Z68" s="1"/>
      <c r="AB68" s="129" t="str">
        <f>IF(N($S10)&lt;&gt;0,"      Korte zijwand","")</f>
        <v xml:space="preserve">      Korte zijwand</v>
      </c>
      <c r="AC68" s="185">
        <f>IF(N($S10)&lt;&gt;0,2,"")</f>
        <v>2</v>
      </c>
      <c r="AD68" s="48">
        <f>IF(N($S10)&lt;&gt;0,$S7,"")</f>
        <v>400</v>
      </c>
      <c r="AE68" s="53" t="str">
        <f>IF(N(S$10)&lt;&gt;0,"x","")</f>
        <v>x</v>
      </c>
      <c r="AF68" s="3">
        <f>IF(N($S10)&lt;&gt;0,S8,"")</f>
        <v>300</v>
      </c>
      <c r="AG68" s="20"/>
      <c r="AH68" s="137"/>
      <c r="BD68" t="s">
        <v>45</v>
      </c>
      <c r="BE68">
        <v>80</v>
      </c>
      <c r="BG68" s="58" t="s">
        <v>241</v>
      </c>
      <c r="BJ68" s="294"/>
      <c r="BK68" t="str">
        <f>IF(AND(BH$29&gt;=BE68,BH$28-BH$29&gt;=BE68),BD68,"")</f>
        <v>Grote balhoek</v>
      </c>
      <c r="BL68">
        <v>8</v>
      </c>
      <c r="BM68">
        <v>6</v>
      </c>
      <c r="BN68">
        <v>0</v>
      </c>
      <c r="BO68" s="132"/>
      <c r="BQ68" t="s">
        <v>162</v>
      </c>
      <c r="BR68">
        <v>80</v>
      </c>
      <c r="BT68" s="58" t="s">
        <v>246</v>
      </c>
      <c r="BX68" t="str">
        <f>IF(AND(BU$29&gt;=BR68,BU$28-BU$29&gt;=BR68),BQ68,"")</f>
        <v>Grote balhoek R5</v>
      </c>
      <c r="BY68">
        <v>8</v>
      </c>
      <c r="BZ68">
        <v>6</v>
      </c>
      <c r="CA68">
        <v>0</v>
      </c>
      <c r="CB68" s="132"/>
      <c r="CN68" s="132"/>
    </row>
    <row r="69" spans="1:92" x14ac:dyDescent="0.25">
      <c r="B69" s="36"/>
      <c r="C69" s="1"/>
      <c r="D69" s="1"/>
      <c r="E69" s="129" t="str">
        <f>IF(N($S10)&lt;&gt;0,"      Lange zijwand boven","")</f>
        <v xml:space="preserve">      Lange zijwand boven</v>
      </c>
      <c r="F69" s="185">
        <f>IF(N($S10)&lt;&gt;0,2,"")</f>
        <v>2</v>
      </c>
      <c r="G69" s="48">
        <f>G67</f>
        <v>620</v>
      </c>
      <c r="H69" s="53" t="str">
        <f>IF(N(S$10)&lt;&gt;0,"x","")</f>
        <v>x</v>
      </c>
      <c r="I69" s="171">
        <f>I68</f>
        <v>59</v>
      </c>
      <c r="J69" s="20"/>
      <c r="K69" s="22"/>
      <c r="L69" s="1"/>
      <c r="N69" s="36"/>
      <c r="O69" s="1"/>
      <c r="Q69" s="129" t="str">
        <f>IF(N($S10)&lt;&gt;0,"      Lange zijwand boven","")</f>
        <v xml:space="preserve">      Lange zijwand boven</v>
      </c>
      <c r="R69" s="185">
        <f>IF(N($S10)&lt;&gt;0,2,"")</f>
        <v>2</v>
      </c>
      <c r="S69" s="157">
        <f>S67</f>
        <v>620</v>
      </c>
      <c r="T69" s="143" t="str">
        <f>IF(N(S$10)&lt;&gt;0,"x","")</f>
        <v>x</v>
      </c>
      <c r="U69" s="171">
        <f>U68</f>
        <v>58</v>
      </c>
      <c r="V69" s="20"/>
      <c r="Y69" s="36"/>
      <c r="Z69" s="1"/>
      <c r="AB69" s="129" t="str">
        <f>IF(N($S10)&lt;&gt;0,"      Lange zijwand","")</f>
        <v xml:space="preserve">      Lange zijwand</v>
      </c>
      <c r="AC69" s="185">
        <f>IF(N($S10)&lt;&gt;0,2,"")</f>
        <v>2</v>
      </c>
      <c r="AD69" s="48">
        <f>AD67</f>
        <v>620</v>
      </c>
      <c r="AE69" s="53" t="str">
        <f>IF(N(S$10)&lt;&gt;0,"x","")</f>
        <v>x</v>
      </c>
      <c r="AF69" s="3">
        <f>AF68</f>
        <v>300</v>
      </c>
      <c r="AG69" s="20"/>
      <c r="AH69" s="137"/>
      <c r="BD69" t="s">
        <v>46</v>
      </c>
      <c r="BE69">
        <v>80</v>
      </c>
      <c r="BG69" s="58" t="s">
        <v>242</v>
      </c>
      <c r="BJ69" s="294"/>
      <c r="BK69" t="str">
        <f>IF(AND(BH$29&gt;=BE69,BH$28-BH$29&gt;=BE69),BD69,"")</f>
        <v>Grote balhoek, stapelbaar</v>
      </c>
      <c r="BL69">
        <v>4</v>
      </c>
      <c r="BM69">
        <v>6</v>
      </c>
      <c r="BN69">
        <v>0</v>
      </c>
      <c r="BO69" s="132"/>
      <c r="BQ69" t="s">
        <v>163</v>
      </c>
      <c r="BR69">
        <v>80</v>
      </c>
      <c r="BT69" s="58" t="s">
        <v>247</v>
      </c>
      <c r="BX69" t="str">
        <f>IF(AND(BU$29&gt;=BR69,BU$28-BU$29&gt;=BR69),BQ69,"")</f>
        <v>Grote balhoek, stapelbaar R5</v>
      </c>
      <c r="BY69">
        <v>4</v>
      </c>
      <c r="BZ69">
        <v>6</v>
      </c>
      <c r="CA69">
        <v>0</v>
      </c>
      <c r="CB69" s="132"/>
      <c r="CN69" s="132"/>
    </row>
    <row r="70" spans="1:92" x14ac:dyDescent="0.25">
      <c r="B70" s="36"/>
      <c r="C70" s="1"/>
      <c r="D70" s="1"/>
      <c r="E70" s="129" t="str">
        <f>IF(N($S10)&lt;&gt;0,"      Korte zijwand onder","")</f>
        <v xml:space="preserve">      Korte zijwand onder</v>
      </c>
      <c r="F70" s="185">
        <f>IF(N($S10)&lt;&gt;0,2,"")</f>
        <v>2</v>
      </c>
      <c r="G70" s="48">
        <f>G68</f>
        <v>400</v>
      </c>
      <c r="H70" s="53" t="str">
        <f>IF(N(S$10)&lt;&gt;0,"x","")</f>
        <v>x</v>
      </c>
      <c r="I70" s="171">
        <f>IF(N($S10)&lt;&gt;0,$S8-BE123,"")</f>
        <v>241</v>
      </c>
      <c r="J70" s="20"/>
      <c r="K70" s="22"/>
      <c r="N70" s="36"/>
      <c r="O70" s="1"/>
      <c r="Q70" s="129" t="str">
        <f>IF(N($S10)&lt;&gt;0,"      Korte zijwand onder","")</f>
        <v xml:space="preserve">      Korte zijwand onder</v>
      </c>
      <c r="R70" s="185">
        <f>IF(N($S10)&lt;&gt;0,2,"")</f>
        <v>2</v>
      </c>
      <c r="S70" s="157">
        <f>S68</f>
        <v>400</v>
      </c>
      <c r="T70" s="143" t="str">
        <f>IF(N(S$10)&lt;&gt;0,"x","")</f>
        <v>x</v>
      </c>
      <c r="U70" s="171">
        <f>IF(N($S10)&lt;&gt;0,$S8-BE123-S10,"")</f>
        <v>231</v>
      </c>
      <c r="V70" s="20"/>
      <c r="Y70" s="36"/>
      <c r="Z70" s="1"/>
      <c r="AB70" s="129" t="str">
        <f>IF(N($S10)&lt;&gt;0,"     (Geen schuim in het deksel bij Slam-lid)","")</f>
        <v xml:space="preserve">     (Geen schuim in het deksel bij Slam-lid)</v>
      </c>
      <c r="AC70" s="185"/>
      <c r="AD70" s="48"/>
      <c r="AE70" s="53"/>
      <c r="AF70" s="3"/>
      <c r="AG70" s="20"/>
      <c r="AH70" s="137"/>
      <c r="BD70" s="42" t="s">
        <v>82</v>
      </c>
      <c r="BE70">
        <f>VLOOKUP(Standaard!$D27,BD64:BF69,2,FALSE)</f>
        <v>80</v>
      </c>
      <c r="BG70" t="str">
        <f>VLOOKUP(Standaard!D27,BD65:BK69,4,FALSE)</f>
        <v>http://www.zelfbouwcase.nl/configuratorcategorieen/standaard-grote-balhoek.html</v>
      </c>
      <c r="BJ70" s="294"/>
      <c r="BK70" t="str">
        <f>Standaard!D27</f>
        <v>Grote balhoek</v>
      </c>
      <c r="BL70">
        <f>VLOOKUP(Standaard!D27,BD65:BL69,9,FALSE)</f>
        <v>8</v>
      </c>
      <c r="BM70">
        <f>VLOOKUP(BK70,BD65:BN69,10,FALSE)</f>
        <v>6</v>
      </c>
      <c r="BN70">
        <v>0</v>
      </c>
      <c r="BO70" s="132"/>
      <c r="BQ70" s="42" t="s">
        <v>82</v>
      </c>
      <c r="BR70">
        <f>IFERROR(VLOOKUP(Standaard!$P27,BQ64:BS69,2,FALSE),"fout")</f>
        <v>80</v>
      </c>
      <c r="BT70" t="str">
        <f>VLOOKUP(Standaard!P27,BQ65:BX69,4,FALSE)</f>
        <v>http://www.zelfbouwcase.nl/configuratorcategorieen/hd-grote-balhoek-r5.html</v>
      </c>
      <c r="BX70" t="str">
        <f>Standaard!P27</f>
        <v>Grote balhoek R5</v>
      </c>
      <c r="BY70">
        <f>VLOOKUP(Standaard!P27,BQ65:BY69,9,FALSE)</f>
        <v>8</v>
      </c>
      <c r="BZ70">
        <f>VLOOKUP(Standaard!P27,BQ65:CA69,9,FALSE)</f>
        <v>8</v>
      </c>
      <c r="CA70">
        <f>VLOOKUP(Standaard!P27,BQ65:CA69,10,FALSE)</f>
        <v>6</v>
      </c>
      <c r="CB70" s="132"/>
      <c r="CN70" s="132"/>
    </row>
    <row r="71" spans="1:92" x14ac:dyDescent="0.25">
      <c r="B71" s="36"/>
      <c r="C71" s="1"/>
      <c r="D71" s="1"/>
      <c r="E71" s="129" t="str">
        <f>IF(N($S10)&lt;&gt;0,"      Lange zijwand onder","")</f>
        <v xml:space="preserve">      Lange zijwand onder</v>
      </c>
      <c r="F71" s="53">
        <f>IF(N($S10)&lt;&gt;0,2,"")</f>
        <v>2</v>
      </c>
      <c r="G71" s="48">
        <f>G67</f>
        <v>620</v>
      </c>
      <c r="H71" s="53" t="str">
        <f>IF(N(S$10)&lt;&gt;0,"x","")</f>
        <v>x</v>
      </c>
      <c r="I71" s="171">
        <f>I70</f>
        <v>241</v>
      </c>
      <c r="J71" s="20"/>
      <c r="K71" s="22"/>
      <c r="N71" s="36"/>
      <c r="O71" s="1"/>
      <c r="Q71" s="129" t="str">
        <f>IF(N($S10)&lt;&gt;0,"      Lange zijwand onder","")</f>
        <v xml:space="preserve">      Lange zijwand onder</v>
      </c>
      <c r="R71" s="53">
        <f>IF(N($S10)&lt;&gt;0,2,"")</f>
        <v>2</v>
      </c>
      <c r="S71" s="157">
        <f>S67</f>
        <v>620</v>
      </c>
      <c r="T71" s="143" t="str">
        <f>IF(N(S$10)&lt;&gt;0,"x","")</f>
        <v>x</v>
      </c>
      <c r="U71" s="171">
        <f>IF(N($S10)&lt;&gt;0,$S8-BE123-S10,"")</f>
        <v>231</v>
      </c>
      <c r="V71" s="20"/>
      <c r="W71" s="1"/>
      <c r="Y71" s="36"/>
      <c r="Z71" s="1"/>
      <c r="AB71" s="129"/>
      <c r="AC71" s="53"/>
      <c r="AD71" s="48"/>
      <c r="AE71" s="53"/>
      <c r="AF71" s="3"/>
      <c r="AG71" s="20"/>
      <c r="AH71" s="137"/>
      <c r="BD71" s="42" t="s">
        <v>271</v>
      </c>
      <c r="BG71" t="str">
        <f>IF(BK70=BD67,BG66,IF(BK70=BD69,BG68,""))</f>
        <v/>
      </c>
      <c r="BJ71" s="294"/>
      <c r="BK71" t="str">
        <f>IF(BK70=BD67,BK66,IF(BK70=BD69,BK68,""))</f>
        <v/>
      </c>
      <c r="BL71" t="str">
        <f>IF(BL70=4,4,"")</f>
        <v/>
      </c>
      <c r="BM71" t="str">
        <f>IF(ISERROR(VLOOKUP(BK71,BK66:BN70,3,FALSE)),"",VLOOKUP(BK71,BK66:BN70,3,FALSE))</f>
        <v/>
      </c>
      <c r="BN71" t="str">
        <f>IF(ISERROR(VLOOKUP(BK71,BK66:BN70,4,FALSE)),"",VLOOKUP(BK71,BK66:BN70,4,FALSE))</f>
        <v/>
      </c>
      <c r="BO71" s="132"/>
      <c r="BQ71" s="42" t="s">
        <v>271</v>
      </c>
      <c r="BT71" t="str">
        <f>IF(BX70=BQ67,BT66,IF(BX70=BQ69,BT68,""))</f>
        <v/>
      </c>
      <c r="BX71" t="str">
        <f>IF(BX70=BQ67,BX66,IF(BX70=BQ69,BX68,""))</f>
        <v/>
      </c>
      <c r="BY71" t="str">
        <f>IF(BY70=4,4,"")</f>
        <v/>
      </c>
      <c r="BZ71" t="str">
        <f>IF(ISERROR(VLOOKUP(BX71,BX66:CA70,3,FALSE)),"",VLOOKUP(BX71,BX66:CA70,3,FALSE))</f>
        <v/>
      </c>
      <c r="CA71" t="str">
        <f>IF(ISERROR(VLOOKUP(BX71,BX66:CA70,4,FALSE)),"",VLOOKUP(BX71,BX66:CA70,4,FALSE))</f>
        <v/>
      </c>
      <c r="CB71" s="132"/>
      <c r="CN71" s="132"/>
    </row>
    <row r="72" spans="1:92" ht="15.75" thickBot="1" x14ac:dyDescent="0.3">
      <c r="B72" s="36"/>
      <c r="C72" s="1"/>
      <c r="D72" s="1"/>
      <c r="E72" s="1"/>
      <c r="F72" s="53"/>
      <c r="G72" s="48"/>
      <c r="H72" s="53"/>
      <c r="I72" s="3"/>
      <c r="J72" s="20"/>
      <c r="K72" s="22"/>
      <c r="N72" s="36"/>
      <c r="O72" s="1"/>
      <c r="P72" s="1"/>
      <c r="Q72" s="53"/>
      <c r="R72" s="53"/>
      <c r="S72" s="48"/>
      <c r="T72" s="53"/>
      <c r="U72" s="3"/>
      <c r="V72" s="20"/>
      <c r="Y72" s="36"/>
      <c r="Z72" s="1"/>
      <c r="AA72" s="1"/>
      <c r="AB72" s="53"/>
      <c r="AC72" s="53"/>
      <c r="AD72" s="48"/>
      <c r="AE72" s="53"/>
      <c r="AF72" s="3"/>
      <c r="AG72" s="20"/>
      <c r="AH72" s="137"/>
      <c r="BJ72" s="294"/>
      <c r="BO72" s="132"/>
      <c r="CB72" s="132"/>
      <c r="CN72" s="132"/>
    </row>
    <row r="73" spans="1:92" ht="16.5" thickTop="1" thickBot="1" x14ac:dyDescent="0.3">
      <c r="B73" s="36"/>
      <c r="C73" s="1"/>
      <c r="D73" s="39"/>
      <c r="E73" s="40" t="s">
        <v>33</v>
      </c>
      <c r="F73" s="41"/>
      <c r="G73" s="36"/>
      <c r="H73" s="36"/>
      <c r="I73" s="36"/>
      <c r="J73" s="20"/>
      <c r="K73" s="22"/>
      <c r="N73" s="36"/>
      <c r="O73" s="1"/>
      <c r="P73" s="39"/>
      <c r="Q73" s="40" t="s">
        <v>33</v>
      </c>
      <c r="R73" s="41"/>
      <c r="S73" s="36"/>
      <c r="T73" s="36"/>
      <c r="U73" s="36"/>
      <c r="V73" s="20"/>
      <c r="Y73" s="36"/>
      <c r="Z73" s="1"/>
      <c r="AA73" s="39"/>
      <c r="AB73" s="40" t="s">
        <v>33</v>
      </c>
      <c r="AC73" s="41"/>
      <c r="AD73" s="36"/>
      <c r="AE73" s="36"/>
      <c r="AF73" s="36"/>
      <c r="AG73" s="20"/>
      <c r="AH73" s="137"/>
      <c r="BC73" s="122" t="s">
        <v>11</v>
      </c>
      <c r="BD73" s="122"/>
      <c r="BG73" t="s">
        <v>282</v>
      </c>
      <c r="BH73" t="b">
        <f>BE80&lt;&gt;0</f>
        <v>1</v>
      </c>
      <c r="BJ73" s="294"/>
      <c r="BO73" s="132"/>
      <c r="CB73" s="132"/>
      <c r="CN73" s="132"/>
    </row>
    <row r="74" spans="1:92" ht="15.75" thickTop="1" x14ac:dyDescent="0.25">
      <c r="B74" s="36"/>
      <c r="C74" s="1"/>
      <c r="D74" s="1"/>
      <c r="E74" s="156" t="str">
        <f>HYPERLINK(BG93,BK93)</f>
        <v>Popnagels 5x14mm  (aantal excl. handgrepen)</v>
      </c>
      <c r="G74" s="189"/>
      <c r="H74" s="189"/>
      <c r="I74" s="140">
        <f>BG139</f>
        <v>128</v>
      </c>
      <c r="J74" s="20"/>
      <c r="K74" s="22"/>
      <c r="N74" s="36"/>
      <c r="O74" s="1"/>
      <c r="Q74" s="156" t="str">
        <f>HYPERLINK(BG93,BK93)</f>
        <v>Popnagels 5x14mm  (aantal excl. handgrepen)</v>
      </c>
      <c r="S74" s="189"/>
      <c r="T74" s="189"/>
      <c r="U74" s="140">
        <f>BG139</f>
        <v>128</v>
      </c>
      <c r="V74" s="20"/>
      <c r="Y74" s="36"/>
      <c r="Z74" s="1"/>
      <c r="AB74" s="156" t="str">
        <f>HYPERLINK(BG93,BK93)</f>
        <v>Popnagels 5x14mm  (aantal excl. handgrepen)</v>
      </c>
      <c r="AD74" s="189"/>
      <c r="AE74" s="189"/>
      <c r="AF74" s="140">
        <f>CG139</f>
        <v>68</v>
      </c>
      <c r="AG74" s="20"/>
      <c r="AH74" s="137"/>
      <c r="BE74">
        <v>0</v>
      </c>
      <c r="BG74" t="s">
        <v>99</v>
      </c>
      <c r="BJ74" s="294"/>
      <c r="BK74" t="s">
        <v>100</v>
      </c>
      <c r="BO74" s="132"/>
      <c r="CB74" s="132"/>
      <c r="CN74" s="132"/>
    </row>
    <row r="75" spans="1:92" x14ac:dyDescent="0.25">
      <c r="B75" s="36"/>
      <c r="C75" s="1"/>
      <c r="D75" s="1"/>
      <c r="E75" s="156" t="str">
        <f>HYPERLINK(BG94,BK94)</f>
        <v>Popnagels 5x11mm  (aantal excl. handgrepen)</v>
      </c>
      <c r="G75" s="189"/>
      <c r="H75" s="189"/>
      <c r="I75" s="140">
        <f>BJ139</f>
        <v>40</v>
      </c>
      <c r="J75" s="20"/>
      <c r="K75" s="22"/>
      <c r="N75" s="36"/>
      <c r="O75" s="1"/>
      <c r="Q75" s="156" t="str">
        <f>HYPERLINK(BG94,BK94)</f>
        <v>Popnagels 5x11mm  (aantal excl. handgrepen)</v>
      </c>
      <c r="S75" s="189"/>
      <c r="T75" s="189"/>
      <c r="U75" s="140">
        <f>BJ139</f>
        <v>40</v>
      </c>
      <c r="V75" s="20"/>
      <c r="Y75" s="36"/>
      <c r="Z75" s="1"/>
      <c r="AB75" s="156" t="str">
        <f>HYPERLINK(BG94,BK94)</f>
        <v>Popnagels 5x11mm  (aantal excl. handgrepen)</v>
      </c>
      <c r="AD75" s="189"/>
      <c r="AE75" s="189"/>
      <c r="AF75" s="140">
        <f>CT128</f>
        <v>0</v>
      </c>
      <c r="AG75" s="20"/>
      <c r="AH75" s="137"/>
      <c r="BE75">
        <v>5</v>
      </c>
      <c r="BG75" s="58" t="s">
        <v>101</v>
      </c>
      <c r="BJ75" s="294">
        <v>251</v>
      </c>
      <c r="BK75" t="s">
        <v>106</v>
      </c>
      <c r="BO75" s="132"/>
      <c r="BT75" s="58"/>
      <c r="CB75" s="132"/>
      <c r="CN75" s="132"/>
    </row>
    <row r="76" spans="1:92" x14ac:dyDescent="0.25">
      <c r="B76" s="36"/>
      <c r="C76" s="1"/>
      <c r="D76" s="1"/>
      <c r="E76" s="156" t="str">
        <f>HYPERLINK(BG95,BK95)</f>
        <v>Handgrepen</v>
      </c>
      <c r="G76" s="184"/>
      <c r="H76" s="184"/>
      <c r="J76" s="20"/>
      <c r="K76" s="22"/>
      <c r="N76" s="36"/>
      <c r="O76" s="1"/>
      <c r="Q76" s="156" t="str">
        <f>HYPERLINK(BG95,BK95)</f>
        <v>Handgrepen</v>
      </c>
      <c r="S76" s="184"/>
      <c r="T76" s="184"/>
      <c r="V76" s="20"/>
      <c r="Y76" s="36"/>
      <c r="Z76" s="1"/>
      <c r="AB76" s="156" t="str">
        <f>HYPERLINK(BG95,BK95)</f>
        <v>Handgrepen</v>
      </c>
      <c r="AD76" s="184"/>
      <c r="AE76" s="184"/>
      <c r="AF76" s="14"/>
      <c r="AG76" s="20"/>
      <c r="AH76" s="137"/>
      <c r="BE76">
        <v>10</v>
      </c>
      <c r="BG76" s="58" t="s">
        <v>102</v>
      </c>
      <c r="BJ76" s="294">
        <v>252</v>
      </c>
      <c r="BK76" t="s">
        <v>107</v>
      </c>
      <c r="BO76" s="132"/>
      <c r="BT76" s="58"/>
      <c r="CB76" s="132"/>
      <c r="CN76" s="132"/>
    </row>
    <row r="77" spans="1:92" x14ac:dyDescent="0.25">
      <c r="B77" s="36"/>
      <c r="C77" s="1"/>
      <c r="D77" s="1"/>
      <c r="E77" s="156" t="str">
        <f>HYPERLINK(BG96,BK96)</f>
        <v>Voetjes en wielen</v>
      </c>
      <c r="G77" s="191"/>
      <c r="H77" s="191"/>
      <c r="I77">
        <v>4</v>
      </c>
      <c r="J77" s="20"/>
      <c r="K77" s="22"/>
      <c r="N77" s="36"/>
      <c r="O77" s="1"/>
      <c r="Q77" s="156" t="str">
        <f>HYPERLINK(BG96,BK96)</f>
        <v>Voetjes en wielen</v>
      </c>
      <c r="S77" s="191"/>
      <c r="T77" s="191"/>
      <c r="U77">
        <v>4</v>
      </c>
      <c r="V77" s="20"/>
      <c r="Y77" s="36"/>
      <c r="Z77" s="1"/>
      <c r="AB77" s="156" t="str">
        <f>HYPERLINK(BG96,BK96)</f>
        <v>Voetjes en wielen</v>
      </c>
      <c r="AD77" s="191"/>
      <c r="AE77" s="191"/>
      <c r="AF77" s="14">
        <v>4</v>
      </c>
      <c r="AG77" s="20"/>
      <c r="AH77" s="137"/>
      <c r="BE77">
        <v>15</v>
      </c>
      <c r="BG77" s="58" t="s">
        <v>103</v>
      </c>
      <c r="BJ77" s="294">
        <v>253</v>
      </c>
      <c r="BK77" t="s">
        <v>108</v>
      </c>
      <c r="BO77" s="132"/>
      <c r="BT77" s="58"/>
      <c r="CB77" s="132"/>
      <c r="CN77" s="132"/>
    </row>
    <row r="78" spans="1:92" x14ac:dyDescent="0.25">
      <c r="B78" s="36"/>
      <c r="C78" s="1"/>
      <c r="D78" s="1"/>
      <c r="G78" s="191"/>
      <c r="H78" s="191"/>
      <c r="J78" s="20"/>
      <c r="K78" s="22"/>
      <c r="N78" s="36"/>
      <c r="O78" s="1"/>
      <c r="S78" s="191"/>
      <c r="T78" s="191"/>
      <c r="V78" s="20"/>
      <c r="Y78" s="36"/>
      <c r="Z78" s="1"/>
      <c r="AD78" s="191"/>
      <c r="AE78" s="191"/>
      <c r="AF78" s="14"/>
      <c r="AG78" s="20"/>
      <c r="AH78" s="137"/>
      <c r="BE78">
        <v>20</v>
      </c>
      <c r="BG78" s="58" t="s">
        <v>104</v>
      </c>
      <c r="BJ78" s="294">
        <v>254</v>
      </c>
      <c r="BK78" t="s">
        <v>109</v>
      </c>
      <c r="BO78" s="132"/>
      <c r="BT78" s="58"/>
      <c r="CB78" s="132"/>
      <c r="CN78" s="132"/>
    </row>
    <row r="79" spans="1:92" x14ac:dyDescent="0.25">
      <c r="B79" s="36"/>
      <c r="C79" s="1"/>
      <c r="D79" s="1"/>
      <c r="E79" s="141" t="s">
        <v>151</v>
      </c>
      <c r="G79" s="191"/>
      <c r="H79" s="191"/>
      <c r="J79" s="20"/>
      <c r="K79" s="22"/>
      <c r="N79" s="36"/>
      <c r="O79" s="1"/>
      <c r="Q79" s="141" t="s">
        <v>151</v>
      </c>
      <c r="S79" s="191"/>
      <c r="T79" s="191"/>
      <c r="V79" s="20"/>
      <c r="Y79" s="36"/>
      <c r="Z79" s="1"/>
      <c r="AB79" s="141" t="s">
        <v>151</v>
      </c>
      <c r="AD79" s="191"/>
      <c r="AE79" s="191"/>
      <c r="AG79" s="20"/>
      <c r="AH79" s="137"/>
      <c r="BE79">
        <v>40</v>
      </c>
      <c r="BG79" s="58" t="s">
        <v>105</v>
      </c>
      <c r="BJ79" s="294">
        <v>255</v>
      </c>
      <c r="BK79" t="s">
        <v>110</v>
      </c>
      <c r="BO79" s="132"/>
      <c r="BT79" s="58"/>
      <c r="CB79" s="132"/>
      <c r="CN79" s="132"/>
    </row>
    <row r="80" spans="1:92" x14ac:dyDescent="0.25">
      <c r="A80" s="178"/>
      <c r="B80" s="123"/>
      <c r="C80" s="183"/>
      <c r="D80" s="191"/>
      <c r="E80" s="141" t="s">
        <v>150</v>
      </c>
      <c r="F80" s="156"/>
      <c r="G80" s="191"/>
      <c r="H80" s="191"/>
      <c r="I80" s="191"/>
      <c r="J80" s="124"/>
      <c r="K80" s="125"/>
      <c r="L80" s="184"/>
      <c r="M80" s="184"/>
      <c r="N80" s="123"/>
      <c r="O80" s="191"/>
      <c r="Q80" s="141" t="s">
        <v>150</v>
      </c>
      <c r="R80" s="156"/>
      <c r="S80" s="191"/>
      <c r="T80" s="191"/>
      <c r="U80" s="191"/>
      <c r="V80" s="124"/>
      <c r="W80" s="184"/>
      <c r="X80" s="184"/>
      <c r="Y80" s="123"/>
      <c r="Z80" s="191"/>
      <c r="AB80" s="141" t="s">
        <v>150</v>
      </c>
      <c r="AC80" s="156"/>
      <c r="AD80" s="191"/>
      <c r="AE80" s="191"/>
      <c r="AF80" s="191"/>
      <c r="AG80" s="124"/>
      <c r="AH80" s="137"/>
      <c r="BD80" s="42" t="s">
        <v>198</v>
      </c>
      <c r="BE80">
        <f>N(Standaard!S10)</f>
        <v>10</v>
      </c>
      <c r="BG80" t="str">
        <f>VLOOKUP(BE80,BE74:BK79,3,FALSE)</f>
        <v>http://www.zelfbouwcase.nl/volledige-productgroepen/schuim/hardschuim/hardschuim-10-mm-dik.html</v>
      </c>
      <c r="BJ80" s="294">
        <f>VLOOKUP(BE80,BE74:BK79,6,FALSE)</f>
        <v>252</v>
      </c>
      <c r="BK80" t="str">
        <f>VLOOKUP(BE80,BE74:BK79,7,FALSE)</f>
        <v>Hardschuim 10mm</v>
      </c>
      <c r="BO80" s="132"/>
      <c r="CB80" s="132"/>
      <c r="CN80" s="132"/>
    </row>
    <row r="81" spans="1:100" ht="2.65" customHeight="1" x14ac:dyDescent="0.25">
      <c r="A81" s="178"/>
      <c r="B81" s="123"/>
      <c r="C81" s="123"/>
      <c r="D81" s="123"/>
      <c r="E81" s="123"/>
      <c r="F81" s="123"/>
      <c r="G81" s="123"/>
      <c r="H81" s="123"/>
      <c r="I81" s="123"/>
      <c r="J81" s="124"/>
      <c r="K81" s="125"/>
      <c r="L81" s="178"/>
      <c r="M81" s="178"/>
      <c r="N81" s="123"/>
      <c r="O81" s="123"/>
      <c r="P81" s="123"/>
      <c r="Q81" s="123"/>
      <c r="R81" s="123"/>
      <c r="S81" s="123"/>
      <c r="T81" s="123"/>
      <c r="U81" s="123"/>
      <c r="V81" s="124"/>
      <c r="W81" s="178"/>
      <c r="X81" s="178"/>
      <c r="Y81" s="123"/>
      <c r="Z81" s="123"/>
      <c r="AA81" s="123"/>
      <c r="AB81" s="123"/>
      <c r="AC81" s="123"/>
      <c r="AD81" s="123"/>
      <c r="AE81" s="123"/>
      <c r="AF81" s="123"/>
      <c r="AG81" s="124"/>
      <c r="AH81" s="137"/>
      <c r="BO81" s="132"/>
      <c r="CB81" s="132"/>
      <c r="CN81" s="132"/>
    </row>
    <row r="82" spans="1:100" x14ac:dyDescent="0.25">
      <c r="A82" s="1"/>
      <c r="C82" s="1"/>
      <c r="D82" s="1"/>
      <c r="E82" s="1"/>
      <c r="F82" s="10"/>
      <c r="I82" s="180"/>
      <c r="J82" s="180"/>
      <c r="K82" s="180"/>
      <c r="L82" s="180"/>
      <c r="M82" s="180"/>
      <c r="N82" s="180"/>
      <c r="O82" s="180"/>
      <c r="P82" s="180"/>
      <c r="Q82" s="180"/>
      <c r="R82" s="180"/>
      <c r="S82" s="180"/>
      <c r="T82" s="180"/>
      <c r="U82" s="180"/>
      <c r="V82" s="11"/>
      <c r="W82" s="11"/>
      <c r="X82" s="1"/>
      <c r="Y82" s="1"/>
      <c r="Z82" s="1"/>
      <c r="AA82" s="1"/>
      <c r="AB82" s="10"/>
      <c r="AC82" s="11"/>
      <c r="AD82" s="11"/>
      <c r="AE82" s="11"/>
      <c r="AF82" s="1"/>
      <c r="AG82" s="10"/>
      <c r="AH82" s="11"/>
      <c r="BO82" s="132"/>
      <c r="CB82" s="132"/>
      <c r="CN82" s="132"/>
    </row>
    <row r="83" spans="1:100" ht="7.5" customHeight="1" x14ac:dyDescent="0.25">
      <c r="B83" s="34"/>
      <c r="C83" s="34"/>
      <c r="D83" s="34"/>
      <c r="E83" s="34"/>
      <c r="F83" s="4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BO83" s="132"/>
      <c r="CB83" s="132"/>
      <c r="CN83" s="132"/>
    </row>
    <row r="84" spans="1:100" ht="26.25" customHeight="1" x14ac:dyDescent="0.4">
      <c r="B84" s="34"/>
      <c r="C84" s="45"/>
      <c r="D84" s="381" t="s">
        <v>143</v>
      </c>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
      <c r="AG84" s="34"/>
      <c r="AI84" s="1"/>
      <c r="AJ84" s="1"/>
      <c r="AK84" s="1"/>
      <c r="AL84" s="1"/>
      <c r="AM84" s="1"/>
      <c r="AN84" s="1"/>
      <c r="AO84" s="1"/>
      <c r="AP84" s="1"/>
      <c r="AQ84" s="1"/>
      <c r="AR84" s="1"/>
      <c r="AS84" s="1"/>
      <c r="AT84" s="1"/>
      <c r="AU84" s="1"/>
      <c r="AV84" s="1"/>
      <c r="AW84" s="1"/>
      <c r="AX84" s="1"/>
      <c r="AY84" s="1"/>
      <c r="AZ84" s="1"/>
      <c r="BA84" s="1"/>
      <c r="BO84" s="132"/>
      <c r="CB84" s="132"/>
      <c r="CN84" s="132"/>
    </row>
    <row r="85" spans="1:100" ht="8.25" customHeight="1" x14ac:dyDescent="0.25">
      <c r="B85" s="34"/>
      <c r="C85" s="34"/>
      <c r="D85" s="34"/>
      <c r="E85" s="34"/>
      <c r="F85" s="4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I85" s="1"/>
      <c r="AJ85" s="1"/>
      <c r="AK85" s="1"/>
      <c r="AL85" s="1"/>
      <c r="AM85" s="1"/>
      <c r="AN85" s="1"/>
      <c r="AO85" s="1"/>
      <c r="AP85" s="1"/>
      <c r="AQ85" s="1"/>
      <c r="AR85" s="1"/>
      <c r="AS85" s="1"/>
      <c r="AT85" s="1"/>
      <c r="AU85" s="1"/>
      <c r="AV85" s="1"/>
      <c r="AW85" s="1"/>
      <c r="AX85" s="1"/>
      <c r="AY85" s="1"/>
      <c r="AZ85" s="1"/>
      <c r="BA85" s="1"/>
      <c r="BO85" s="132"/>
      <c r="CB85" s="132"/>
      <c r="CN85" s="132"/>
    </row>
    <row r="86" spans="1:100" ht="2.25" customHeight="1" x14ac:dyDescent="0.25">
      <c r="B86" s="34"/>
      <c r="C86" s="34"/>
      <c r="D86" s="1"/>
      <c r="E86" s="11"/>
      <c r="F86" s="11"/>
      <c r="G86" s="1"/>
      <c r="H86" s="86"/>
      <c r="I86" s="180"/>
      <c r="J86" s="180"/>
      <c r="K86" s="180"/>
      <c r="L86" s="180"/>
      <c r="M86" s="180"/>
      <c r="N86" s="180"/>
      <c r="O86" s="180"/>
      <c r="P86" s="180"/>
      <c r="Q86" s="180"/>
      <c r="R86" s="180"/>
      <c r="S86" s="180"/>
      <c r="T86" s="180"/>
      <c r="U86" s="180"/>
      <c r="V86" s="180"/>
      <c r="W86" s="180"/>
      <c r="X86" s="180"/>
      <c r="Y86" s="180"/>
      <c r="Z86" s="180"/>
      <c r="AA86" s="180"/>
      <c r="AB86" s="180"/>
      <c r="AC86" s="180"/>
      <c r="AG86" s="34"/>
      <c r="AI86" s="1"/>
      <c r="AJ86" s="1"/>
      <c r="AK86" s="1"/>
      <c r="AL86" s="1"/>
      <c r="AM86" s="1"/>
      <c r="AN86" s="1"/>
      <c r="AO86" s="1"/>
      <c r="AP86" s="1"/>
      <c r="AQ86" s="1"/>
      <c r="AR86" s="1"/>
      <c r="AS86" s="1"/>
      <c r="AT86" s="1"/>
      <c r="AU86" s="1"/>
      <c r="AV86" s="1"/>
      <c r="AW86" s="1"/>
      <c r="AX86" s="1"/>
      <c r="AY86" s="1"/>
      <c r="AZ86" s="10"/>
      <c r="BA86" s="1"/>
      <c r="BO86" s="132"/>
      <c r="CB86" s="132"/>
      <c r="CN86" s="132"/>
    </row>
    <row r="87" spans="1:100" ht="15" customHeight="1" x14ac:dyDescent="0.25">
      <c r="B87" s="34"/>
      <c r="C87" s="34"/>
      <c r="D87" s="382" t="s">
        <v>34</v>
      </c>
      <c r="E87" s="382"/>
      <c r="F87" s="382"/>
      <c r="G87" s="383" t="s">
        <v>144</v>
      </c>
      <c r="H87" s="344"/>
      <c r="I87" s="344"/>
      <c r="J87" s="344"/>
      <c r="K87" s="344"/>
      <c r="L87" s="344"/>
      <c r="M87" s="344"/>
      <c r="N87" s="344"/>
      <c r="O87" s="344"/>
      <c r="P87" s="344"/>
      <c r="Q87" s="344"/>
      <c r="R87" s="344"/>
      <c r="S87" s="344"/>
      <c r="T87" s="344"/>
      <c r="U87" s="344"/>
      <c r="V87" s="344"/>
      <c r="W87" s="344"/>
      <c r="X87" s="344"/>
      <c r="Y87" s="344"/>
      <c r="Z87" s="344"/>
      <c r="AA87" s="344"/>
      <c r="AB87" s="344"/>
      <c r="AF87" s="159" t="s">
        <v>40</v>
      </c>
      <c r="AG87" s="34"/>
      <c r="AI87" s="1"/>
      <c r="AJ87" s="1"/>
      <c r="AK87" s="1"/>
      <c r="AL87" s="1"/>
      <c r="AM87" s="1"/>
      <c r="AN87" s="1"/>
      <c r="AO87" s="1"/>
      <c r="AP87" s="1"/>
      <c r="AQ87" s="1"/>
      <c r="AR87" s="1"/>
      <c r="AS87" s="1"/>
      <c r="AT87" s="1"/>
      <c r="AU87" s="1"/>
      <c r="AV87" s="1"/>
      <c r="AW87" s="1"/>
      <c r="AX87" s="1"/>
      <c r="AY87" s="1"/>
      <c r="AZ87" s="10"/>
      <c r="BA87" s="1"/>
      <c r="BO87" s="132"/>
      <c r="CB87" s="132"/>
      <c r="CN87" s="132"/>
      <c r="CS87" s="1"/>
      <c r="CT87" s="1"/>
      <c r="CU87" s="1"/>
      <c r="CV87" s="1"/>
    </row>
    <row r="88" spans="1:100" ht="2.25" customHeight="1" x14ac:dyDescent="0.25">
      <c r="B88" s="34"/>
      <c r="C88" s="34"/>
      <c r="D88" s="1"/>
      <c r="E88" s="10"/>
      <c r="F88" s="11"/>
      <c r="G88" s="344"/>
      <c r="H88" s="344"/>
      <c r="I88" s="344"/>
      <c r="J88" s="344"/>
      <c r="K88" s="344"/>
      <c r="L88" s="344"/>
      <c r="M88" s="344"/>
      <c r="N88" s="344"/>
      <c r="O88" s="344"/>
      <c r="P88" s="344"/>
      <c r="Q88" s="344"/>
      <c r="R88" s="344"/>
      <c r="S88" s="344"/>
      <c r="T88" s="344"/>
      <c r="U88" s="344"/>
      <c r="V88" s="344"/>
      <c r="W88" s="344"/>
      <c r="X88" s="344"/>
      <c r="Y88" s="344"/>
      <c r="Z88" s="344"/>
      <c r="AA88" s="344"/>
      <c r="AB88" s="344"/>
      <c r="AF88" s="159" t="s">
        <v>40</v>
      </c>
      <c r="AG88" s="34"/>
      <c r="AI88" s="1"/>
      <c r="AJ88" s="1"/>
      <c r="AK88" s="1"/>
      <c r="AL88" s="1"/>
      <c r="AM88" s="1"/>
      <c r="AN88" s="1"/>
      <c r="AO88" s="1"/>
      <c r="AP88" s="1"/>
      <c r="AQ88" s="1"/>
      <c r="AR88" s="1"/>
      <c r="AS88" s="1"/>
      <c r="AT88" s="1"/>
      <c r="AU88" s="1"/>
      <c r="AV88" s="1"/>
      <c r="AW88" s="1"/>
      <c r="AX88" s="1"/>
      <c r="AY88" s="1"/>
      <c r="AZ88" s="10"/>
      <c r="BA88" s="1"/>
      <c r="BO88" s="132"/>
      <c r="CB88" s="132"/>
      <c r="CN88" s="132"/>
      <c r="CQ88" s="1"/>
      <c r="CR88" s="1"/>
      <c r="CS88" s="1"/>
      <c r="CT88" s="1"/>
      <c r="CU88" s="1"/>
      <c r="CV88" s="1"/>
    </row>
    <row r="89" spans="1:100" ht="15" customHeight="1" x14ac:dyDescent="0.3">
      <c r="B89" s="34"/>
      <c r="C89" s="34"/>
      <c r="D89" s="46" t="s">
        <v>35</v>
      </c>
      <c r="E89" s="10" t="s">
        <v>36</v>
      </c>
      <c r="F89" s="11"/>
      <c r="G89" s="344"/>
      <c r="H89" s="344"/>
      <c r="I89" s="344"/>
      <c r="J89" s="344"/>
      <c r="K89" s="344"/>
      <c r="L89" s="344"/>
      <c r="M89" s="344"/>
      <c r="N89" s="344"/>
      <c r="O89" s="344"/>
      <c r="P89" s="344"/>
      <c r="Q89" s="344"/>
      <c r="R89" s="344"/>
      <c r="S89" s="344"/>
      <c r="T89" s="344"/>
      <c r="U89" s="344"/>
      <c r="V89" s="344"/>
      <c r="W89" s="344"/>
      <c r="X89" s="344"/>
      <c r="Y89" s="344"/>
      <c r="Z89" s="344"/>
      <c r="AA89" s="344"/>
      <c r="AB89" s="344"/>
      <c r="AC89" s="1" t="s">
        <v>207</v>
      </c>
      <c r="AD89" s="85"/>
      <c r="AE89" s="85"/>
      <c r="AF89" s="159"/>
      <c r="AG89" s="34"/>
      <c r="AI89" s="1"/>
      <c r="AJ89" s="1"/>
      <c r="AK89" s="1"/>
      <c r="AL89" s="1"/>
      <c r="AM89" s="1"/>
      <c r="AN89" s="1"/>
      <c r="AO89" s="1"/>
      <c r="AP89" s="1"/>
      <c r="AQ89" s="1"/>
      <c r="AR89" s="1"/>
      <c r="AS89" s="1"/>
      <c r="AT89" s="1"/>
      <c r="AU89" s="1"/>
      <c r="AV89" s="1"/>
      <c r="AW89" s="1"/>
      <c r="AX89" s="1"/>
      <c r="AY89" s="1"/>
      <c r="AZ89" s="10"/>
      <c r="BA89" s="1"/>
      <c r="BO89" s="132"/>
      <c r="CB89" s="132"/>
      <c r="CN89" s="132"/>
      <c r="CQ89" s="1"/>
      <c r="CR89" s="1"/>
      <c r="CS89" s="1"/>
      <c r="CT89" s="1"/>
      <c r="CU89" s="1"/>
      <c r="CV89" s="1"/>
    </row>
    <row r="90" spans="1:100" ht="2.25" customHeight="1" x14ac:dyDescent="0.25">
      <c r="B90" s="34"/>
      <c r="C90" s="34"/>
      <c r="D90" s="1"/>
      <c r="E90" s="1"/>
      <c r="F90" s="10"/>
      <c r="G90" s="1"/>
      <c r="H90" s="180"/>
      <c r="I90" s="180"/>
      <c r="J90" s="180"/>
      <c r="X90" s="1"/>
      <c r="Y90" s="1"/>
      <c r="Z90" s="1"/>
      <c r="AA90" s="1"/>
      <c r="AB90" s="10"/>
      <c r="AD90" s="1"/>
      <c r="AE90" s="85"/>
      <c r="AF90" s="85"/>
      <c r="AG90" s="34"/>
      <c r="AI90" s="1"/>
      <c r="AJ90" s="1"/>
      <c r="AK90" s="1"/>
      <c r="AL90" s="1"/>
      <c r="AM90" s="1"/>
      <c r="AN90" s="1"/>
      <c r="AO90" s="1"/>
      <c r="AP90" s="1"/>
      <c r="AQ90" s="1"/>
      <c r="AR90" s="1"/>
      <c r="AS90" s="1"/>
      <c r="AT90" s="1"/>
      <c r="AU90" s="1"/>
      <c r="AV90" s="1"/>
      <c r="AW90" s="1"/>
      <c r="AX90" s="1"/>
      <c r="AY90" s="1"/>
      <c r="AZ90" s="10"/>
      <c r="BA90" s="1"/>
      <c r="BO90" s="132"/>
      <c r="CB90" s="132"/>
      <c r="CN90" s="132"/>
      <c r="CQ90" s="1"/>
      <c r="CR90" s="1"/>
      <c r="CS90" s="1"/>
      <c r="CT90" s="1"/>
      <c r="CU90" s="1"/>
      <c r="CV90" s="1"/>
    </row>
    <row r="91" spans="1:100" ht="14.65" customHeight="1" x14ac:dyDescent="0.3">
      <c r="B91" s="34"/>
      <c r="C91" s="34"/>
      <c r="D91" s="46" t="s">
        <v>35</v>
      </c>
      <c r="E91" s="1" t="s">
        <v>37</v>
      </c>
      <c r="F91" s="10"/>
      <c r="G91" s="1"/>
      <c r="H91" s="180"/>
      <c r="I91" s="180"/>
      <c r="J91" s="180"/>
      <c r="AB91" s="10"/>
      <c r="AC91" s="1" t="s">
        <v>208</v>
      </c>
      <c r="AD91" s="1"/>
      <c r="AE91" s="85"/>
      <c r="AF91" s="85"/>
      <c r="AG91" s="34"/>
      <c r="AI91" s="1"/>
      <c r="AJ91" s="1"/>
      <c r="AK91" s="1"/>
      <c r="AL91" s="1"/>
      <c r="AM91" s="1"/>
      <c r="AN91" s="1"/>
      <c r="AO91" s="1"/>
      <c r="AP91" s="1"/>
      <c r="AQ91" s="1"/>
      <c r="AR91" s="1"/>
      <c r="AS91" s="1"/>
      <c r="AT91" s="1"/>
      <c r="AU91" s="1"/>
      <c r="AV91" s="1"/>
      <c r="AW91" s="1"/>
      <c r="AX91" s="1"/>
      <c r="AY91" s="1"/>
      <c r="AZ91" s="10"/>
      <c r="BA91" s="1"/>
      <c r="BO91" s="132"/>
      <c r="CB91" s="132"/>
      <c r="CC91" s="122" t="s">
        <v>114</v>
      </c>
      <c r="CD91" s="122"/>
      <c r="CN91" s="132"/>
      <c r="CQ91" s="1"/>
      <c r="CR91" s="1"/>
      <c r="CS91" s="1"/>
      <c r="CT91" s="1"/>
      <c r="CU91" s="1"/>
      <c r="CV91" s="1"/>
    </row>
    <row r="92" spans="1:100" ht="14.65" customHeight="1" x14ac:dyDescent="0.3">
      <c r="B92" s="37"/>
      <c r="C92" s="34"/>
      <c r="D92" s="46" t="s">
        <v>35</v>
      </c>
      <c r="E92" s="1" t="s">
        <v>42</v>
      </c>
      <c r="F92" s="10"/>
      <c r="G92" s="11"/>
      <c r="H92" s="180"/>
      <c r="I92" s="180"/>
      <c r="J92" s="180"/>
      <c r="O92" t="s">
        <v>145</v>
      </c>
      <c r="AB92" s="10"/>
      <c r="AC92" s="1" t="s">
        <v>41</v>
      </c>
      <c r="AD92" s="1"/>
      <c r="AE92" s="85"/>
      <c r="AF92" s="85"/>
      <c r="AG92" s="34"/>
      <c r="AI92" s="11"/>
      <c r="AJ92" s="11"/>
      <c r="AK92" s="11"/>
      <c r="AL92" s="11"/>
      <c r="AM92" s="11"/>
      <c r="AN92" s="11"/>
      <c r="AO92" s="11"/>
      <c r="AP92" s="11"/>
      <c r="AQ92" s="11"/>
      <c r="AR92" s="11"/>
      <c r="AS92" s="11"/>
      <c r="AT92" s="11"/>
      <c r="AU92" s="11"/>
      <c r="AV92" s="11"/>
      <c r="AW92" s="11"/>
      <c r="AX92" s="11"/>
      <c r="AY92" s="11"/>
      <c r="AZ92" s="11"/>
      <c r="BA92" s="1"/>
      <c r="BC92" s="122" t="s">
        <v>114</v>
      </c>
      <c r="BD92" s="122"/>
      <c r="BO92" s="132"/>
      <c r="BP92" s="122" t="s">
        <v>114</v>
      </c>
      <c r="BQ92" s="122"/>
      <c r="CB92" s="132"/>
      <c r="CD92" s="1"/>
      <c r="CF92" s="178"/>
      <c r="CG92" s="58" t="s">
        <v>214</v>
      </c>
      <c r="CJ92" t="s">
        <v>215</v>
      </c>
      <c r="CN92" s="132"/>
      <c r="CQ92" s="1"/>
      <c r="CR92" s="1"/>
      <c r="CS92" s="1"/>
      <c r="CT92" s="1"/>
      <c r="CU92" s="1"/>
      <c r="CV92" s="1"/>
    </row>
    <row r="93" spans="1:100" ht="14.65" customHeight="1" x14ac:dyDescent="0.3">
      <c r="B93" s="37"/>
      <c r="C93" s="34"/>
      <c r="D93" s="46"/>
      <c r="E93" s="51" t="s">
        <v>59</v>
      </c>
      <c r="F93" s="10"/>
      <c r="G93" s="11"/>
      <c r="H93" s="180"/>
      <c r="I93" s="180"/>
      <c r="J93" s="180"/>
      <c r="AB93" s="10"/>
      <c r="AC93" s="1"/>
      <c r="AD93" s="1"/>
      <c r="AE93" s="85"/>
      <c r="AF93" s="85"/>
      <c r="AG93" s="34"/>
      <c r="AI93" s="11"/>
      <c r="AJ93" s="11"/>
      <c r="AK93" s="11"/>
      <c r="AL93" s="11"/>
      <c r="AM93" s="11"/>
      <c r="AN93" s="11"/>
      <c r="AO93" s="11"/>
      <c r="AP93" s="11"/>
      <c r="AQ93" s="11"/>
      <c r="AR93" s="11"/>
      <c r="AS93" s="11"/>
      <c r="AT93" s="11"/>
      <c r="AU93" s="11"/>
      <c r="AV93" s="11"/>
      <c r="AW93" s="11"/>
      <c r="AX93" s="11"/>
      <c r="AY93" s="11"/>
      <c r="AZ93" s="11"/>
      <c r="BD93" s="1"/>
      <c r="BF93" s="178"/>
      <c r="BG93" s="58" t="s">
        <v>214</v>
      </c>
      <c r="BK93" t="s">
        <v>215</v>
      </c>
      <c r="BO93" s="132"/>
      <c r="BQ93" s="1"/>
      <c r="BS93" s="178"/>
      <c r="BT93" s="58" t="s">
        <v>214</v>
      </c>
      <c r="BX93" t="s">
        <v>215</v>
      </c>
      <c r="CB93" s="132"/>
      <c r="CD93" s="1"/>
      <c r="CF93" s="178"/>
      <c r="CG93" s="58" t="s">
        <v>146</v>
      </c>
      <c r="CJ93" t="s">
        <v>216</v>
      </c>
      <c r="CN93" s="132"/>
      <c r="CQ93" s="1"/>
      <c r="CR93" s="1"/>
      <c r="CS93" s="1"/>
      <c r="CT93" s="1"/>
      <c r="CU93" s="1"/>
      <c r="CV93" s="1"/>
    </row>
    <row r="94" spans="1:100" ht="14.65" customHeight="1" x14ac:dyDescent="0.25">
      <c r="B94" s="37"/>
      <c r="C94" s="34"/>
      <c r="D94" s="1"/>
      <c r="E94" s="52" t="s">
        <v>58</v>
      </c>
      <c r="F94" s="11"/>
      <c r="G94" s="11"/>
      <c r="H94" s="11"/>
      <c r="I94" s="11"/>
      <c r="J94" s="180"/>
      <c r="AG94" s="34"/>
      <c r="BD94" s="1"/>
      <c r="BF94" s="178"/>
      <c r="BG94" s="58" t="s">
        <v>259</v>
      </c>
      <c r="BK94" t="s">
        <v>216</v>
      </c>
      <c r="BO94" s="132"/>
      <c r="BQ94" s="1"/>
      <c r="BS94" s="178"/>
      <c r="BT94" s="58" t="s">
        <v>146</v>
      </c>
      <c r="BX94" t="s">
        <v>216</v>
      </c>
      <c r="CB94" s="132"/>
      <c r="CG94" s="156" t="s">
        <v>217</v>
      </c>
      <c r="CJ94" t="s">
        <v>218</v>
      </c>
      <c r="CN94" s="132"/>
      <c r="CQ94" s="1"/>
      <c r="CR94" s="1"/>
      <c r="CS94" s="1"/>
      <c r="CT94" s="1"/>
      <c r="CU94" s="1"/>
      <c r="CV94" s="1"/>
    </row>
    <row r="95" spans="1:100" ht="14.65" customHeight="1" x14ac:dyDescent="0.25">
      <c r="B95" s="37"/>
      <c r="C95" s="34"/>
      <c r="D95" s="1"/>
      <c r="E95" s="52" t="s">
        <v>58</v>
      </c>
      <c r="F95" s="11"/>
      <c r="G95" s="11"/>
      <c r="H95" s="11"/>
      <c r="I95" s="11"/>
      <c r="J95" s="180"/>
      <c r="AG95" s="34"/>
      <c r="BG95" s="156" t="s">
        <v>217</v>
      </c>
      <c r="BK95" t="s">
        <v>218</v>
      </c>
      <c r="BO95" s="132"/>
      <c r="BT95" s="156" t="s">
        <v>217</v>
      </c>
      <c r="BX95" t="s">
        <v>218</v>
      </c>
      <c r="CB95" s="132"/>
      <c r="CG95" s="156" t="str">
        <f>BG96</f>
        <v>http://www.zelfbouwcase.nl/configuratorcategorieen/standaard-hd-voetjes-en-wielen.html?limit=all</v>
      </c>
      <c r="CJ95" t="str">
        <f>BK96</f>
        <v>Voetjes en wielen</v>
      </c>
      <c r="CN95" s="132"/>
      <c r="CQ95" s="1"/>
      <c r="CR95" s="1"/>
      <c r="CS95" s="1"/>
      <c r="CT95" s="1"/>
      <c r="CU95" s="1"/>
      <c r="CV95" s="1"/>
    </row>
    <row r="96" spans="1:100" ht="14.65" customHeight="1" x14ac:dyDescent="0.25">
      <c r="B96" s="37"/>
      <c r="C96" s="34"/>
      <c r="D96" s="1"/>
      <c r="E96" s="1"/>
      <c r="F96" s="10"/>
      <c r="J96" s="180"/>
      <c r="AG96" s="34"/>
      <c r="BG96" s="156" t="s">
        <v>230</v>
      </c>
      <c r="BK96" t="s">
        <v>227</v>
      </c>
      <c r="BO96" s="132"/>
      <c r="BT96" t="str">
        <f>BG96</f>
        <v>http://www.zelfbouwcase.nl/configuratorcategorieen/standaard-hd-voetjes-en-wielen.html?limit=all</v>
      </c>
      <c r="BX96" t="str">
        <f>BK96</f>
        <v>Voetjes en wielen</v>
      </c>
      <c r="CB96" s="132"/>
      <c r="CG96" s="156"/>
      <c r="CN96" s="132"/>
      <c r="CQ96" s="1"/>
      <c r="CR96" s="1"/>
    </row>
    <row r="97" spans="1:94" ht="14.65" customHeight="1" x14ac:dyDescent="0.25">
      <c r="B97" s="37"/>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BG97" s="58" t="s">
        <v>226</v>
      </c>
      <c r="BK97" s="33" t="s">
        <v>298</v>
      </c>
      <c r="BO97" s="132"/>
      <c r="BT97" s="156"/>
      <c r="CB97" s="132"/>
      <c r="CG97" s="156"/>
      <c r="CN97" s="132"/>
    </row>
    <row r="98" spans="1:94" x14ac:dyDescent="0.25">
      <c r="A98" s="1"/>
      <c r="C98" s="1"/>
      <c r="D98" s="1"/>
      <c r="E98" s="1"/>
      <c r="F98" s="10"/>
      <c r="BG98" s="58" t="s">
        <v>278</v>
      </c>
      <c r="BK98" s="33" t="s">
        <v>277</v>
      </c>
      <c r="BO98" s="132"/>
      <c r="BT98" s="156"/>
      <c r="CB98" s="132"/>
      <c r="CG98" s="156"/>
      <c r="CN98" s="132"/>
    </row>
    <row r="99" spans="1:94" x14ac:dyDescent="0.25">
      <c r="A99" s="1"/>
      <c r="C99" s="1"/>
      <c r="D99" s="1"/>
      <c r="E99" s="1"/>
      <c r="BG99" s="58"/>
      <c r="BK99" s="33"/>
      <c r="BO99" s="132"/>
      <c r="BT99" s="156"/>
      <c r="CB99" s="132"/>
      <c r="CG99" s="156"/>
      <c r="CN99" s="132"/>
      <c r="CP99" s="1"/>
    </row>
    <row r="100" spans="1:94" x14ac:dyDescent="0.25">
      <c r="A100" s="1"/>
      <c r="C100" s="1"/>
      <c r="D100" s="1"/>
      <c r="E100" s="1"/>
      <c r="BG100" s="58"/>
      <c r="BK100" s="33"/>
      <c r="BO100" s="134"/>
      <c r="CB100" s="132"/>
      <c r="CN100" s="132"/>
      <c r="CO100" s="1"/>
      <c r="CP100" s="1"/>
    </row>
    <row r="101" spans="1:94" x14ac:dyDescent="0.25">
      <c r="A101" s="1"/>
      <c r="C101" s="1"/>
      <c r="D101" s="1"/>
      <c r="E101" s="1"/>
      <c r="BC101" s="122" t="s">
        <v>115</v>
      </c>
      <c r="BD101" s="122"/>
      <c r="BO101" s="134"/>
      <c r="BP101" s="122" t="s">
        <v>115</v>
      </c>
      <c r="BQ101" s="122"/>
      <c r="CB101" s="134"/>
      <c r="CC101" s="122" t="s">
        <v>115</v>
      </c>
      <c r="CD101" s="122"/>
      <c r="CN101" s="132"/>
      <c r="CO101" s="1"/>
      <c r="CP101" s="1"/>
    </row>
    <row r="102" spans="1:94" x14ac:dyDescent="0.25">
      <c r="A102" s="1"/>
      <c r="C102" s="1"/>
      <c r="D102" s="1"/>
      <c r="E102" s="1"/>
      <c r="BO102" s="134"/>
      <c r="CB102" s="134"/>
      <c r="CN102" s="132"/>
      <c r="CO102" s="1"/>
      <c r="CP102" s="1"/>
    </row>
    <row r="103" spans="1:94" x14ac:dyDescent="0.25">
      <c r="A103" s="1"/>
      <c r="C103" s="1"/>
      <c r="D103" s="1"/>
      <c r="E103" s="1"/>
      <c r="BD103" s="42" t="s">
        <v>132</v>
      </c>
      <c r="BE103" s="42"/>
      <c r="BF103" s="42"/>
      <c r="BG103" s="42" t="s">
        <v>60</v>
      </c>
      <c r="BH103" s="42"/>
      <c r="BI103" s="42"/>
      <c r="BJ103" s="289"/>
      <c r="BK103" s="42" t="s">
        <v>61</v>
      </c>
      <c r="BO103" s="134"/>
      <c r="BQ103" s="42" t="s">
        <v>132</v>
      </c>
      <c r="BR103" s="42"/>
      <c r="BS103" s="42"/>
      <c r="BT103" s="42" t="s">
        <v>60</v>
      </c>
      <c r="BU103" s="42"/>
      <c r="BV103" s="42"/>
      <c r="BW103" s="42"/>
      <c r="BX103" s="42" t="s">
        <v>61</v>
      </c>
      <c r="CB103" s="134"/>
      <c r="CD103" s="42" t="s">
        <v>132</v>
      </c>
      <c r="CE103" s="42"/>
      <c r="CF103" s="42"/>
      <c r="CG103" s="42" t="s">
        <v>60</v>
      </c>
      <c r="CH103" s="42"/>
      <c r="CI103" s="42"/>
      <c r="CJ103" s="42" t="s">
        <v>61</v>
      </c>
      <c r="CN103" s="132"/>
      <c r="CO103" s="1"/>
      <c r="CP103" s="1"/>
    </row>
    <row r="104" spans="1:94" x14ac:dyDescent="0.25">
      <c r="A104" s="1"/>
      <c r="C104" s="1"/>
      <c r="D104" s="1"/>
      <c r="E104" s="1"/>
      <c r="BD104" t="s">
        <v>135</v>
      </c>
      <c r="BE104" t="b">
        <f>OR(BE70&gt;BH29,BE70&gt;BH28-BH29)</f>
        <v>0</v>
      </c>
      <c r="BG104" t="s">
        <v>91</v>
      </c>
      <c r="BK104" s="130" t="s">
        <v>233</v>
      </c>
      <c r="BN104" s="1"/>
      <c r="BO104" s="134"/>
      <c r="BQ104" t="s">
        <v>135</v>
      </c>
      <c r="BR104" t="b">
        <f>OR(BR70&gt;BU29,BR70&gt;BU28-BU29)</f>
        <v>0</v>
      </c>
      <c r="BT104" t="s">
        <v>91</v>
      </c>
      <c r="BX104" s="130" t="str">
        <f>BK104</f>
        <v>De hoeken zijn te groot voor de dekselhoogte</v>
      </c>
      <c r="CA104" s="1"/>
      <c r="CB104" s="134"/>
      <c r="CJ104" s="130"/>
      <c r="CM104" s="1"/>
      <c r="CN104" s="134"/>
      <c r="CO104" s="1"/>
      <c r="CP104" s="1"/>
    </row>
    <row r="105" spans="1:94" x14ac:dyDescent="0.25">
      <c r="A105" s="1"/>
      <c r="C105" s="1"/>
      <c r="D105" s="1"/>
      <c r="E105" s="1"/>
      <c r="BD105" t="s">
        <v>84</v>
      </c>
      <c r="BE105" t="b">
        <v>0</v>
      </c>
      <c r="BG105" t="s">
        <v>85</v>
      </c>
      <c r="BK105" t="s">
        <v>152</v>
      </c>
      <c r="BN105" s="1"/>
      <c r="BO105" s="134"/>
      <c r="BQ105" t="s">
        <v>84</v>
      </c>
      <c r="BR105" t="b">
        <v>0</v>
      </c>
      <c r="BT105" t="s">
        <v>85</v>
      </c>
      <c r="BX105" s="130" t="str">
        <f>BK105</f>
        <v>De verhoudingen van de afbeelding wijken af</v>
      </c>
      <c r="CA105" s="1"/>
      <c r="CB105" s="134"/>
      <c r="CD105" t="s">
        <v>84</v>
      </c>
      <c r="CE105" t="b">
        <v>0</v>
      </c>
      <c r="CG105" t="s">
        <v>85</v>
      </c>
      <c r="CJ105" t="s">
        <v>152</v>
      </c>
      <c r="CM105" s="1"/>
      <c r="CN105" s="134"/>
      <c r="CO105" s="1"/>
      <c r="CP105" s="1"/>
    </row>
    <row r="106" spans="1:94" x14ac:dyDescent="0.25">
      <c r="A106" s="1"/>
      <c r="C106" s="1"/>
      <c r="D106" s="1"/>
      <c r="E106" s="1"/>
      <c r="BD106" t="s">
        <v>89</v>
      </c>
      <c r="BE106" t="b">
        <f>AND(BH29&gt;=BH30,BH28-BH29&gt;BH30)</f>
        <v>1</v>
      </c>
      <c r="BG106" t="s">
        <v>134</v>
      </c>
      <c r="BN106" s="1"/>
      <c r="BO106" s="134"/>
      <c r="BQ106" t="s">
        <v>89</v>
      </c>
      <c r="BR106" t="b">
        <f>AND(BU29&gt;=BU30,(BU28-BU29)&gt;BU30)</f>
        <v>1</v>
      </c>
      <c r="BT106" t="s">
        <v>134</v>
      </c>
      <c r="CA106" s="1"/>
      <c r="CB106" s="134"/>
      <c r="CD106" t="s">
        <v>154</v>
      </c>
      <c r="CE106" t="b">
        <f>N(Standaard!S10)&lt;10</f>
        <v>0</v>
      </c>
      <c r="CJ106" t="str">
        <f>"Let op: Het slam-lid profiel steekt rondom "&amp;TEXT(10-N(Standaard!S10),"###")&amp;"mm naar binnen uit. "&amp;"Zie ook de schematische tekening onderaan."</f>
        <v>Let op: Het slam-lid profiel steekt rondom mm naar binnen uit. Zie ook de schematische tekening onderaan.</v>
      </c>
      <c r="CM106" s="1"/>
      <c r="CN106" s="134"/>
      <c r="CO106" s="1"/>
      <c r="CP106" s="1"/>
    </row>
    <row r="107" spans="1:94" x14ac:dyDescent="0.25">
      <c r="A107" s="1"/>
      <c r="C107" s="1"/>
      <c r="D107" s="1"/>
      <c r="E107" s="1"/>
      <c r="BD107" t="s">
        <v>90</v>
      </c>
      <c r="BE107" t="b">
        <f>NOT(BE106)</f>
        <v>0</v>
      </c>
      <c r="BG107" t="s">
        <v>133</v>
      </c>
      <c r="BK107" t="s">
        <v>153</v>
      </c>
      <c r="BN107" s="1"/>
      <c r="BO107" s="132"/>
      <c r="BQ107" t="s">
        <v>90</v>
      </c>
      <c r="BR107" t="b">
        <f>NOT(BR106)</f>
        <v>0</v>
      </c>
      <c r="BT107" t="s">
        <v>133</v>
      </c>
      <c r="BX107" t="s">
        <v>153</v>
      </c>
      <c r="CA107" s="1"/>
      <c r="CB107" s="134"/>
      <c r="CM107" s="1"/>
      <c r="CN107" s="134"/>
      <c r="CO107" s="42"/>
      <c r="CP107" s="1"/>
    </row>
    <row r="108" spans="1:94" x14ac:dyDescent="0.25">
      <c r="A108" s="1"/>
      <c r="C108" s="1"/>
      <c r="D108" s="1"/>
      <c r="E108" s="1"/>
      <c r="BD108" t="s">
        <v>191</v>
      </c>
      <c r="BE108" t="b">
        <f>OR(BE52&gt;BH29,BE52&gt;BH28-BH29)</f>
        <v>0</v>
      </c>
      <c r="BG108" t="s">
        <v>92</v>
      </c>
      <c r="BK108" t="s">
        <v>236</v>
      </c>
      <c r="BL108" s="42"/>
      <c r="BN108" s="1"/>
      <c r="BO108" s="132"/>
      <c r="BQ108" t="str">
        <f>BD108</f>
        <v xml:space="preserve">Sluiting te groot </v>
      </c>
      <c r="BR108" t="b">
        <f>OR(BR52&gt;BU29,BR52&gt;BU28-BU29)</f>
        <v>0</v>
      </c>
      <c r="BT108" t="str">
        <f>BG108</f>
        <v>Sluiting is te groot voor deksel</v>
      </c>
      <c r="BX108" s="130" t="str">
        <f>BK108</f>
        <v>De sluitingen zijn te groot voor het deksel of de bodem</v>
      </c>
      <c r="BY108" s="42"/>
      <c r="CA108" s="1"/>
      <c r="CB108" s="132"/>
      <c r="CK108" s="42"/>
      <c r="CM108" s="1"/>
      <c r="CN108" s="134"/>
    </row>
    <row r="109" spans="1:94" x14ac:dyDescent="0.25">
      <c r="A109" s="1"/>
      <c r="C109" s="1"/>
      <c r="D109" s="1"/>
      <c r="E109" s="1"/>
      <c r="BB109" s="1"/>
      <c r="BD109" t="s">
        <v>154</v>
      </c>
      <c r="BE109" t="b">
        <f>N(Standaard!S10)&gt;Standaard!S9-BE22-BE46</f>
        <v>0</v>
      </c>
      <c r="BG109" t="s">
        <v>305</v>
      </c>
      <c r="BK109" t="str">
        <f>"Het schuim is "&amp;TEXT(N(Standaard!S10)+BE22+BE46-Standaard!S9,"###")&amp;" mm dikker dan de binnenkant van het deksel"</f>
        <v>Het schuim is -59 mm dikker dan de binnenkant van het deksel</v>
      </c>
      <c r="BL109" s="42"/>
      <c r="BN109" s="1"/>
      <c r="BO109" s="132"/>
      <c r="BQ109" t="s">
        <v>154</v>
      </c>
      <c r="BR109" t="b">
        <f>N(Standaard!S10)&gt;Standaard!S9-BR22-BR42</f>
        <v>0</v>
      </c>
      <c r="BT109" t="s">
        <v>305</v>
      </c>
      <c r="BX109" t="str">
        <f>"Het schuim is "&amp;TEXT(N(Standaard!S10)+BR22+BR42-Standaard!S9,"###")&amp;" mm dikker dan de binnenkant vh deksel"</f>
        <v>Het schuim is -58 mm dikker dan de binnenkant vh deksel</v>
      </c>
      <c r="BY109" s="42"/>
      <c r="CA109" s="1"/>
      <c r="CB109" s="132"/>
      <c r="CK109" s="42"/>
      <c r="CM109" s="1"/>
      <c r="CN109" s="134"/>
    </row>
    <row r="110" spans="1:94" x14ac:dyDescent="0.25">
      <c r="A110" s="1"/>
      <c r="C110" s="1"/>
      <c r="D110" s="1"/>
      <c r="E110" s="1"/>
      <c r="BB110" s="1"/>
      <c r="BD110" t="s">
        <v>299</v>
      </c>
      <c r="BE110" t="b">
        <f>AND(NOT(BE109),Standaard!I69&lt;20)</f>
        <v>0</v>
      </c>
      <c r="BG110" t="s">
        <v>301</v>
      </c>
      <c r="BK110" t="s">
        <v>304</v>
      </c>
      <c r="BL110" s="42"/>
      <c r="BN110" s="1"/>
      <c r="BO110" s="132"/>
      <c r="BQ110" t="s">
        <v>299</v>
      </c>
      <c r="BR110" t="b">
        <f>AND(NOT(BR109),Standaard!U69&lt;20)</f>
        <v>0</v>
      </c>
      <c r="BT110" t="s">
        <v>301</v>
      </c>
      <c r="BW110" s="288"/>
      <c r="BX110" t="s">
        <v>304</v>
      </c>
      <c r="BY110" s="42"/>
      <c r="CA110" s="1"/>
      <c r="CB110" s="132"/>
      <c r="CK110" s="42"/>
      <c r="CM110" s="1"/>
      <c r="CN110" s="134"/>
    </row>
    <row r="111" spans="1:94" ht="15.6" customHeight="1" x14ac:dyDescent="0.25">
      <c r="A111" s="1"/>
      <c r="C111" s="1"/>
      <c r="D111" s="1"/>
      <c r="E111" s="1"/>
      <c r="BB111" s="1"/>
      <c r="BD111" t="s">
        <v>195</v>
      </c>
      <c r="BE111" t="b">
        <f>N(Standaard!S10)&gt;BH28-BH29-BE22-BE46</f>
        <v>0</v>
      </c>
      <c r="BG111" t="s">
        <v>194</v>
      </c>
      <c r="BK111" t="str">
        <f>"Het schuim is "&amp;TEXT(N(Standaard!S10)+BE22+BE46-(BH28-BH29),"###")&amp;" mm dikker dan de binnenkant van de bodem"</f>
        <v>Het schuim is -242 mm dikker dan de binnenkant van de bodem</v>
      </c>
      <c r="BL111" s="42"/>
      <c r="BN111" s="1"/>
      <c r="BO111" s="132"/>
      <c r="BQ111" t="s">
        <v>195</v>
      </c>
      <c r="BR111" t="b">
        <f>N(Standaard!S10)&gt;BU28-BU29-BR22-BR42</f>
        <v>0</v>
      </c>
      <c r="BT111" t="s">
        <v>305</v>
      </c>
      <c r="BX111" t="str">
        <f>"Het schuim is "&amp;TEXT(N(Standaard!S10)+BR22+BR42-(BU28-BU29),"###")&amp;" mm dikker dan de binnenkant vd bodem"</f>
        <v>Het schuim is -242 mm dikker dan de binnenkant vd bodem</v>
      </c>
      <c r="BY111" s="42"/>
      <c r="CA111" s="1"/>
      <c r="CB111" s="132"/>
      <c r="CK111" s="42"/>
      <c r="CM111" s="1"/>
      <c r="CN111" s="134"/>
    </row>
    <row r="112" spans="1:94" ht="15.6" customHeight="1" x14ac:dyDescent="0.25">
      <c r="A112" s="1"/>
      <c r="C112" s="1"/>
      <c r="D112" s="1"/>
      <c r="E112" s="1"/>
      <c r="BB112" s="1"/>
      <c r="BD112" t="s">
        <v>300</v>
      </c>
      <c r="BE112" t="b">
        <f>AND(NOT(BE111),Standaard!I71&lt;20)</f>
        <v>0</v>
      </c>
      <c r="BG112" t="s">
        <v>302</v>
      </c>
      <c r="BK112" t="s">
        <v>303</v>
      </c>
      <c r="BL112" s="42"/>
      <c r="BN112" s="1"/>
      <c r="BO112" s="132"/>
      <c r="BQ112" t="s">
        <v>300</v>
      </c>
      <c r="BR112" t="b">
        <f>AND(NOT(BR111),Standaard!U71&lt;20)</f>
        <v>0</v>
      </c>
      <c r="BT112" t="s">
        <v>302</v>
      </c>
      <c r="BW112" s="288"/>
      <c r="BX112" t="s">
        <v>303</v>
      </c>
      <c r="BY112" s="42"/>
      <c r="CA112" s="1"/>
      <c r="CB112" s="132"/>
      <c r="CK112" s="42"/>
      <c r="CM112" s="1"/>
      <c r="CN112" s="134"/>
    </row>
    <row r="113" spans="1:92" x14ac:dyDescent="0.25">
      <c r="A113" s="1"/>
      <c r="C113" s="1"/>
      <c r="D113" s="1"/>
      <c r="E113" s="1"/>
      <c r="BB113" s="1"/>
      <c r="BE113" t="b">
        <v>0</v>
      </c>
      <c r="BG113" s="87" t="s">
        <v>93</v>
      </c>
      <c r="BL113" s="42"/>
      <c r="BO113" s="132"/>
      <c r="BR113" t="b">
        <v>0</v>
      </c>
      <c r="BT113" s="87" t="s">
        <v>93</v>
      </c>
      <c r="BY113" s="42"/>
      <c r="CB113" s="132"/>
      <c r="CE113" t="b">
        <v>0</v>
      </c>
      <c r="CG113" s="14" t="s">
        <v>93</v>
      </c>
      <c r="CK113" s="42"/>
      <c r="CN113" s="134"/>
    </row>
    <row r="114" spans="1:92" x14ac:dyDescent="0.25">
      <c r="A114" s="1"/>
      <c r="C114" s="1"/>
      <c r="D114" s="1"/>
      <c r="E114" s="1"/>
      <c r="BB114" s="1"/>
      <c r="BG114" s="87" t="s">
        <v>131</v>
      </c>
      <c r="BL114" s="42"/>
      <c r="BO114" s="132"/>
      <c r="BT114" s="87" t="s">
        <v>131</v>
      </c>
      <c r="BY114" s="42"/>
      <c r="CB114" s="132"/>
      <c r="CG114" s="87" t="s">
        <v>131</v>
      </c>
      <c r="CK114" s="42"/>
      <c r="CN114" s="132"/>
    </row>
    <row r="115" spans="1:92" x14ac:dyDescent="0.25">
      <c r="A115" s="1"/>
      <c r="C115" s="1"/>
      <c r="D115" s="1"/>
      <c r="E115" s="1"/>
      <c r="BB115" s="1"/>
      <c r="BL115" s="42"/>
      <c r="BO115" s="132"/>
      <c r="BT115" s="87"/>
      <c r="BY115" s="42"/>
      <c r="CB115" s="132"/>
      <c r="CG115" s="87"/>
      <c r="CK115" s="42"/>
      <c r="CN115" s="132"/>
    </row>
    <row r="116" spans="1:92" ht="15" customHeight="1" x14ac:dyDescent="0.25">
      <c r="A116" s="1"/>
      <c r="C116" s="1"/>
      <c r="D116" s="1"/>
      <c r="E116" s="1"/>
      <c r="F116" s="5"/>
      <c r="BB116" s="1"/>
      <c r="BD116" t="s">
        <v>211</v>
      </c>
      <c r="BE116" t="b">
        <f>I39&lt;60</f>
        <v>0</v>
      </c>
      <c r="BG116" t="s">
        <v>212</v>
      </c>
      <c r="BK116" t="s">
        <v>234</v>
      </c>
      <c r="BL116" s="42"/>
      <c r="BO116" s="132"/>
      <c r="BQ116" t="s">
        <v>211</v>
      </c>
      <c r="BR116" t="b">
        <f>U39&lt;60</f>
        <v>0</v>
      </c>
      <c r="BT116" t="s">
        <v>212</v>
      </c>
      <c r="BX116" t="str">
        <f>BK116</f>
        <v>De bodemhoogte is te klein voor een inbouwsluiting</v>
      </c>
      <c r="BY116" s="42"/>
      <c r="CB116" s="132"/>
      <c r="CK116" s="42"/>
      <c r="CN116" s="132"/>
    </row>
    <row r="117" spans="1:92" ht="15" customHeight="1" x14ac:dyDescent="0.25">
      <c r="A117" s="1"/>
      <c r="C117" s="1"/>
      <c r="D117" s="1"/>
      <c r="E117" s="1"/>
      <c r="BB117" s="1"/>
      <c r="BD117" s="153" t="s">
        <v>155</v>
      </c>
      <c r="BG117" s="369" t="str">
        <f>IF(BE104,BK104&amp;CHAR(10),"")&amp;IF(BE105,BK105&amp;CHAR(10),"")&amp;IF(BE107,BK107&amp;CHAR(10),"")&amp;IF(BE108,BK108&amp;CHAR(10),"")&amp;IF(BE109,BK109&amp;CHAR(10),"")&amp;IF(BE110,BK110&amp;CHAR(10),"")&amp;IF(BE111,BK111&amp;CHAR(10),"")&amp;IF(BE112,BK112&amp;CHAR(10),"")&amp;IF(BE116,BK116&amp;CHAR(10),"")</f>
        <v/>
      </c>
      <c r="BH117" s="369"/>
      <c r="BI117" s="369"/>
      <c r="BJ117" s="369"/>
      <c r="BL117" s="42"/>
      <c r="BO117" s="132"/>
      <c r="BQ117" s="154" t="s">
        <v>155</v>
      </c>
      <c r="BT117" s="369" t="str">
        <f>IF(BR104,BX104&amp;CHAR(10),"")&amp;IF(BR105,BX105&amp;CHAR(10),"")&amp;IF(BR107,BX107&amp;CHAR(10),"")&amp;IF(BR108,BX108&amp;CHAR(10),"")&amp;IF(BR109,BX109&amp;CHAR(10),"")&amp;IF(BR110,BX110&amp;CHAR(10),"")&amp;IF(BR111,BX111&amp;CHAR(10),"")&amp;IF(BR112,BX112&amp;CHAR(10),"")&amp;IF(BR116,BX116&amp;CHAR(10),"")</f>
        <v/>
      </c>
      <c r="BU117" s="369"/>
      <c r="BV117" s="369"/>
      <c r="BW117" s="280"/>
      <c r="BY117" s="42"/>
      <c r="CB117" s="132"/>
      <c r="CD117" s="153" t="s">
        <v>155</v>
      </c>
      <c r="CG117" s="369" t="str">
        <f>IF(CE104,CJ104&amp;CHAR(10),"")&amp;IF(CE105,CJ105&amp;CHAR(10),"")&amp;IF(CE106,CJ106&amp;CHAR(10),"")&amp;IF(CE108,CJ108&amp;CHAR(10),"")&amp;IF(CE109,CJ109&amp;CHAR(13),"")&amp;IF(CE113,CJ113&amp;CHAR(10),"")</f>
        <v/>
      </c>
      <c r="CH117" s="369"/>
      <c r="CI117" s="369"/>
      <c r="CK117" s="42"/>
      <c r="CN117" s="132"/>
    </row>
    <row r="118" spans="1:92" ht="15" customHeight="1" x14ac:dyDescent="0.25">
      <c r="A118" s="1"/>
      <c r="C118" s="1"/>
      <c r="D118" s="1"/>
      <c r="E118" s="1"/>
      <c r="BB118" s="1"/>
      <c r="BL118" s="42"/>
      <c r="BO118" s="132"/>
      <c r="BY118" s="42"/>
      <c r="CB118" s="132"/>
      <c r="CK118" s="42"/>
      <c r="CN118" s="132"/>
    </row>
    <row r="119" spans="1:92" ht="15" customHeight="1" x14ac:dyDescent="0.25">
      <c r="A119" s="1"/>
      <c r="C119" s="1"/>
      <c r="D119" s="1"/>
      <c r="E119" s="1"/>
      <c r="BB119" s="1"/>
      <c r="BC119" s="42" t="s">
        <v>98</v>
      </c>
      <c r="BD119" s="42"/>
      <c r="BF119" s="42"/>
      <c r="BG119" s="42"/>
      <c r="BH119" s="42"/>
      <c r="BI119" s="42"/>
      <c r="BJ119" s="289"/>
      <c r="BK119" s="42"/>
      <c r="BL119" s="42"/>
      <c r="BO119" s="132"/>
      <c r="BP119" s="42" t="s">
        <v>98</v>
      </c>
      <c r="BQ119" s="42"/>
      <c r="BS119" s="42"/>
      <c r="BT119" s="42"/>
      <c r="BU119" s="42"/>
      <c r="BV119" s="42"/>
      <c r="BW119" s="42"/>
      <c r="BX119" s="42"/>
      <c r="BY119" s="42"/>
      <c r="CB119" s="132"/>
      <c r="CC119" s="42" t="s">
        <v>98</v>
      </c>
      <c r="CD119" s="42"/>
      <c r="CE119" s="98">
        <f>Standaard!AF38+CE42-CE23-CE28-1</f>
        <v>270</v>
      </c>
      <c r="CF119" s="42"/>
      <c r="CG119" s="42"/>
      <c r="CH119" s="42"/>
      <c r="CI119" s="42"/>
      <c r="CJ119" s="42"/>
      <c r="CK119" s="42"/>
      <c r="CN119" s="132"/>
    </row>
    <row r="120" spans="1:92" x14ac:dyDescent="0.25">
      <c r="A120" s="1"/>
      <c r="C120" s="1"/>
      <c r="D120" s="1"/>
      <c r="E120" s="1"/>
      <c r="BB120" s="1"/>
      <c r="BD120" s="130" t="s">
        <v>62</v>
      </c>
      <c r="BE120" s="98">
        <f>ROUND(DB33+BE46-BE23-BE29-1,0)</f>
        <v>27</v>
      </c>
      <c r="BF120" s="42"/>
      <c r="BG120" s="42"/>
      <c r="BH120" s="42"/>
      <c r="BI120" s="42"/>
      <c r="BJ120" s="289"/>
      <c r="BK120" s="42"/>
      <c r="BL120" s="42"/>
      <c r="BO120" s="132"/>
      <c r="BQ120" s="130" t="s">
        <v>62</v>
      </c>
      <c r="BR120" s="98">
        <f>Standaard!U37+BR42-BR23-BR29-1</f>
        <v>24.5</v>
      </c>
      <c r="BS120" s="42"/>
      <c r="BT120" s="42"/>
      <c r="BU120" s="42"/>
      <c r="BV120" s="42"/>
      <c r="BW120" s="42"/>
      <c r="BX120" s="42"/>
      <c r="BY120" s="42"/>
      <c r="CB120" s="132"/>
      <c r="CD120" s="42"/>
      <c r="CF120" s="42"/>
      <c r="CG120" s="151"/>
      <c r="CH120" s="42"/>
      <c r="CI120" s="42"/>
      <c r="CJ120" s="42"/>
      <c r="CK120" s="42"/>
      <c r="CN120" s="132"/>
    </row>
    <row r="121" spans="1:92" ht="15" customHeight="1" x14ac:dyDescent="0.25">
      <c r="A121" s="1"/>
      <c r="C121" s="1"/>
      <c r="D121" s="1"/>
      <c r="E121" s="1"/>
      <c r="BD121" s="130" t="s">
        <v>12</v>
      </c>
      <c r="BE121" s="98">
        <f>ROUND(I39+BE46-BE23-BE28-1,0)</f>
        <v>211</v>
      </c>
      <c r="BF121" s="42"/>
      <c r="BG121" s="42"/>
      <c r="BH121" s="42"/>
      <c r="BI121" s="42"/>
      <c r="BJ121" s="289"/>
      <c r="BK121" s="42"/>
      <c r="BO121" s="132"/>
      <c r="BQ121" s="130" t="s">
        <v>12</v>
      </c>
      <c r="BR121" s="98">
        <f>Standaard!U39+BR42-BR23-BR28-1</f>
        <v>212.5</v>
      </c>
      <c r="BS121" s="42"/>
      <c r="BT121" s="42"/>
      <c r="BU121" s="42"/>
      <c r="BV121" s="42"/>
      <c r="BW121" s="42"/>
      <c r="BX121" s="42"/>
      <c r="CB121" s="132"/>
      <c r="CC121" t="s">
        <v>203</v>
      </c>
      <c r="CD121" s="42"/>
      <c r="CE121" s="98">
        <f>TRUNC((Standaard!AD37-2*30)/50.8)*50.8-2.4</f>
        <v>505.6</v>
      </c>
      <c r="CF121" s="42"/>
      <c r="CG121" s="130" t="s">
        <v>280</v>
      </c>
      <c r="CH121" s="42"/>
      <c r="CI121" s="42"/>
      <c r="CJ121" s="42" t="s">
        <v>281</v>
      </c>
      <c r="CK121">
        <f>(CE121+2.4)/50.8*2+2</f>
        <v>22</v>
      </c>
      <c r="CN121" s="132"/>
    </row>
    <row r="122" spans="1:92" ht="15" customHeight="1" x14ac:dyDescent="0.25">
      <c r="A122" s="1"/>
      <c r="C122" s="1"/>
      <c r="D122" s="1"/>
      <c r="E122" s="1"/>
      <c r="BD122" s="42"/>
      <c r="BE122" s="98"/>
      <c r="BF122" s="42"/>
      <c r="BG122" s="42"/>
      <c r="BH122" s="42"/>
      <c r="BI122" s="42"/>
      <c r="BJ122" s="289"/>
      <c r="BK122" s="42"/>
      <c r="BO122" s="132"/>
      <c r="BQ122" s="42"/>
      <c r="BR122" s="98"/>
      <c r="BS122" s="42"/>
      <c r="BT122" s="42"/>
      <c r="BU122" s="42"/>
      <c r="BV122" s="42"/>
      <c r="BW122" s="42"/>
      <c r="BX122" s="42"/>
      <c r="CB122" s="132"/>
      <c r="CD122" s="42"/>
      <c r="CE122" s="98"/>
      <c r="CF122" s="42"/>
      <c r="CG122" s="42"/>
      <c r="CH122" s="42"/>
      <c r="CI122" s="42"/>
      <c r="CJ122" s="42"/>
      <c r="CN122" s="132"/>
    </row>
    <row r="123" spans="1:92" x14ac:dyDescent="0.25">
      <c r="A123" s="1"/>
      <c r="C123" s="1"/>
      <c r="D123" s="1"/>
      <c r="E123" s="1"/>
      <c r="BC123" s="42" t="s">
        <v>188</v>
      </c>
      <c r="BD123" s="130"/>
      <c r="BE123" s="151">
        <f>ROUND(BH29-BE22-BE46-N(S10),0)</f>
        <v>59</v>
      </c>
      <c r="BF123" s="42"/>
      <c r="BH123" s="42"/>
      <c r="BI123" s="42"/>
      <c r="BJ123" s="289"/>
      <c r="BK123" s="42"/>
      <c r="BO123" s="132"/>
      <c r="BP123" s="42" t="s">
        <v>188</v>
      </c>
      <c r="BQ123" s="130"/>
      <c r="BR123" s="151">
        <f>BU29-BR22-BR42-N(Standaard!S10)</f>
        <v>58</v>
      </c>
      <c r="BS123" s="42"/>
      <c r="BU123" s="42"/>
      <c r="BV123" s="42"/>
      <c r="BW123" s="42"/>
      <c r="BX123" s="42"/>
      <c r="CB123" s="132"/>
      <c r="CD123" s="42"/>
      <c r="CE123" s="98"/>
      <c r="CF123" s="42"/>
      <c r="CG123" s="42"/>
      <c r="CH123" s="42"/>
      <c r="CI123" s="42"/>
      <c r="CJ123" s="42"/>
      <c r="CN123" s="132"/>
    </row>
    <row r="124" spans="1:92" x14ac:dyDescent="0.25">
      <c r="A124" s="1"/>
      <c r="C124" s="1"/>
      <c r="D124" s="1"/>
      <c r="E124" s="1"/>
      <c r="BD124" s="42"/>
      <c r="BE124" s="42"/>
      <c r="BF124" s="42"/>
      <c r="BG124" s="42"/>
      <c r="BH124" s="42"/>
      <c r="BI124" s="42"/>
      <c r="BJ124" s="289"/>
      <c r="BK124" s="42"/>
      <c r="BO124" s="132"/>
      <c r="BQ124" s="42"/>
      <c r="BR124" s="42"/>
      <c r="BS124" s="42"/>
      <c r="BT124" s="42"/>
      <c r="BU124" s="42"/>
      <c r="BV124" s="42"/>
      <c r="BW124" s="42"/>
      <c r="BX124" s="42"/>
      <c r="CB124" s="132"/>
      <c r="CD124" s="42"/>
      <c r="CE124" s="42"/>
      <c r="CF124" s="42"/>
      <c r="CG124" s="42"/>
      <c r="CH124" s="42"/>
      <c r="CI124" s="42"/>
      <c r="CJ124" s="42"/>
      <c r="CN124" s="132"/>
    </row>
    <row r="125" spans="1:92" x14ac:dyDescent="0.25">
      <c r="A125" s="1"/>
      <c r="C125" s="1"/>
      <c r="D125" s="1"/>
      <c r="E125" s="1"/>
      <c r="BC125" s="42" t="s">
        <v>136</v>
      </c>
      <c r="BG125" s="182" t="s">
        <v>139</v>
      </c>
      <c r="BJ125" s="293" t="s">
        <v>140</v>
      </c>
      <c r="BO125" s="132"/>
      <c r="BP125" s="42" t="s">
        <v>136</v>
      </c>
      <c r="BT125" s="182" t="s">
        <v>139</v>
      </c>
      <c r="BV125" s="136" t="s">
        <v>140</v>
      </c>
      <c r="BW125" s="136"/>
      <c r="CB125" s="132"/>
      <c r="CC125" s="42" t="s">
        <v>136</v>
      </c>
      <c r="CG125" s="182" t="s">
        <v>139</v>
      </c>
      <c r="CI125" s="136" t="s">
        <v>140</v>
      </c>
      <c r="CN125" s="132"/>
    </row>
    <row r="126" spans="1:92" x14ac:dyDescent="0.25">
      <c r="A126" s="1"/>
      <c r="C126" s="1"/>
      <c r="D126" s="1"/>
      <c r="E126" s="1"/>
      <c r="BC126" s="129" t="s">
        <v>4</v>
      </c>
      <c r="BE126" t="s">
        <v>141</v>
      </c>
      <c r="BG126" s="136"/>
      <c r="BJ126" s="293"/>
      <c r="BO126" s="132"/>
      <c r="BP126" s="129" t="s">
        <v>4</v>
      </c>
      <c r="BR126" t="s">
        <v>141</v>
      </c>
      <c r="BT126" s="136"/>
      <c r="BV126" s="136"/>
      <c r="BW126" s="136"/>
      <c r="CB126" s="132"/>
      <c r="CC126" s="129" t="s">
        <v>4</v>
      </c>
      <c r="CE126" t="s">
        <v>141</v>
      </c>
      <c r="CG126" s="136"/>
      <c r="CI126" s="136"/>
      <c r="CN126" s="132"/>
    </row>
    <row r="127" spans="1:92" x14ac:dyDescent="0.25">
      <c r="A127" s="1"/>
      <c r="C127" s="1"/>
      <c r="D127" s="1"/>
      <c r="E127" s="1"/>
      <c r="F127" s="1"/>
      <c r="BD127" s="129" t="s">
        <v>7</v>
      </c>
      <c r="BE127">
        <f>Standaard!F44</f>
        <v>4</v>
      </c>
      <c r="BG127" s="13">
        <f>2*N(Standaard!F44)*ROUND(N(Standaard!G44)/150,0)</f>
        <v>32</v>
      </c>
      <c r="BJ127" s="293"/>
      <c r="BO127" s="132"/>
      <c r="BQ127" s="129" t="s">
        <v>7</v>
      </c>
      <c r="BR127">
        <f>Standaard!R44</f>
        <v>4</v>
      </c>
      <c r="BT127" s="13">
        <f>2*N(Standaard!R44)*ROUND((N(Standaard!S44)/150),0)</f>
        <v>32</v>
      </c>
      <c r="BV127" s="136"/>
      <c r="BW127" s="136"/>
      <c r="CB127" s="132"/>
      <c r="CD127" s="129" t="s">
        <v>7</v>
      </c>
      <c r="CE127">
        <f>Standaard!AC44</f>
        <v>2</v>
      </c>
      <c r="CG127" s="13">
        <f>2*N(Standaard!AC44)*ROUND((N(Standaard!AD44)/150),0)</f>
        <v>16</v>
      </c>
      <c r="CI127" s="136"/>
      <c r="CN127" s="132"/>
    </row>
    <row r="128" spans="1:92" x14ac:dyDescent="0.25">
      <c r="A128" s="1"/>
      <c r="C128" s="1"/>
      <c r="D128" s="1"/>
      <c r="E128" s="1"/>
      <c r="F128" s="1"/>
      <c r="BD128" s="129" t="s">
        <v>18</v>
      </c>
      <c r="BE128">
        <f>Standaard!F45</f>
        <v>4</v>
      </c>
      <c r="BG128" s="13">
        <f>2*N(Standaard!F45)*ROUND(N(Standaard!G45)/150,0)</f>
        <v>24</v>
      </c>
      <c r="BJ128" s="293"/>
      <c r="BO128" s="132"/>
      <c r="BQ128" s="129" t="s">
        <v>18</v>
      </c>
      <c r="BR128">
        <f>Standaard!R45</f>
        <v>4</v>
      </c>
      <c r="BT128" s="13">
        <f>2*N(Standaard!R45)*ROUND((N(Standaard!S45)/150),0)</f>
        <v>24</v>
      </c>
      <c r="BV128" s="136"/>
      <c r="BW128" s="136"/>
      <c r="CB128" s="132"/>
      <c r="CD128" s="129" t="s">
        <v>18</v>
      </c>
      <c r="CE128">
        <f>Standaard!AC45</f>
        <v>2</v>
      </c>
      <c r="CG128" s="13">
        <f>2*N(Standaard!AC45)*ROUND((N(Standaard!AD45)/150),0)</f>
        <v>12</v>
      </c>
      <c r="CI128" s="136"/>
      <c r="CN128" s="132"/>
    </row>
    <row r="129" spans="1:92" x14ac:dyDescent="0.25">
      <c r="A129" s="1"/>
      <c r="C129" s="1"/>
      <c r="D129" s="1"/>
      <c r="E129" s="1"/>
      <c r="BD129" s="129" t="s">
        <v>66</v>
      </c>
      <c r="BE129">
        <f>Standaard!F46</f>
        <v>4</v>
      </c>
      <c r="BG129" s="13">
        <f>2*N(Standaard!F46)*ROUND(N(Standaard!G46)/150,0)</f>
        <v>0</v>
      </c>
      <c r="BJ129" s="293"/>
      <c r="BO129" s="132"/>
      <c r="BQ129" s="129" t="s">
        <v>66</v>
      </c>
      <c r="BR129">
        <f>Standaard!R46</f>
        <v>4</v>
      </c>
      <c r="BT129" s="13">
        <f>2*N(Standaard!R46)*ROUND((N(Standaard!S46)/150),0)</f>
        <v>0</v>
      </c>
      <c r="BV129" s="136"/>
      <c r="BW129" s="136"/>
      <c r="CB129" s="132"/>
      <c r="CD129" s="129" t="s">
        <v>27</v>
      </c>
      <c r="CE129">
        <f>Standaard!AC46</f>
        <v>4</v>
      </c>
      <c r="CG129" s="13">
        <f>2*N(Standaard!AC46)*ROUND((N(Standaard!AD46)/150),0)</f>
        <v>16</v>
      </c>
      <c r="CI129" s="136"/>
      <c r="CN129" s="132"/>
    </row>
    <row r="130" spans="1:92" x14ac:dyDescent="0.25">
      <c r="A130" s="1"/>
      <c r="C130" s="1"/>
      <c r="D130" s="1"/>
      <c r="E130" s="1"/>
      <c r="BD130" s="129" t="s">
        <v>138</v>
      </c>
      <c r="BE130">
        <f>Standaard!F47</f>
        <v>4</v>
      </c>
      <c r="BG130" s="13">
        <f>2*N(Standaard!F47)*ROUND(N(Standaard!G47)/150,0)</f>
        <v>8</v>
      </c>
      <c r="BJ130" s="293"/>
      <c r="BO130" s="132"/>
      <c r="BQ130" s="129" t="s">
        <v>138</v>
      </c>
      <c r="BR130">
        <f>Standaard!R47</f>
        <v>4</v>
      </c>
      <c r="BT130" s="13">
        <f>2*N(Standaard!R47)*ROUND((N(Standaard!S47)/150),0)</f>
        <v>8</v>
      </c>
      <c r="BV130" s="136"/>
      <c r="BW130" s="136"/>
      <c r="CB130" s="132"/>
      <c r="CD130" s="129" t="s">
        <v>306</v>
      </c>
      <c r="CE130">
        <f>CK49</f>
        <v>1</v>
      </c>
      <c r="CG130" s="13">
        <f>CK49*CL49</f>
        <v>4</v>
      </c>
      <c r="CI130" s="136"/>
      <c r="CN130" s="132"/>
    </row>
    <row r="131" spans="1:92" x14ac:dyDescent="0.25">
      <c r="A131" s="1"/>
      <c r="C131" s="1"/>
      <c r="D131" s="1"/>
      <c r="E131" s="1"/>
      <c r="BG131" s="182"/>
      <c r="BJ131" s="293"/>
      <c r="BO131" s="132"/>
      <c r="BT131" s="182"/>
      <c r="BV131" s="136"/>
      <c r="BW131" s="136"/>
      <c r="CB131" s="132"/>
      <c r="CG131" s="182"/>
      <c r="CI131" s="136"/>
      <c r="CN131" s="132"/>
    </row>
    <row r="132" spans="1:92" x14ac:dyDescent="0.25">
      <c r="A132" s="1"/>
      <c r="C132" s="1"/>
      <c r="D132" s="1"/>
      <c r="E132" s="1"/>
      <c r="BD132" t="str">
        <f>Standaard!D56</f>
        <v>Overzethoek</v>
      </c>
      <c r="BE132">
        <f>N(Standaard!F56)</f>
        <v>8</v>
      </c>
      <c r="BG132" s="182">
        <f>BE132*BM64</f>
        <v>16</v>
      </c>
      <c r="BJ132" s="293">
        <f>BE132*BN64</f>
        <v>16</v>
      </c>
      <c r="BO132" s="132"/>
      <c r="BQ132" t="str">
        <f>Standaard!P56</f>
        <v>Overzethoek R5</v>
      </c>
      <c r="BR132">
        <f>Standaard!R56</f>
        <v>8</v>
      </c>
      <c r="BT132" s="182">
        <f>BR132*BZ64</f>
        <v>16</v>
      </c>
      <c r="BV132" s="136">
        <f>BR132*CA64</f>
        <v>16</v>
      </c>
      <c r="BW132" s="136"/>
      <c r="CB132" s="132"/>
      <c r="CD132" t="str">
        <f>Standaard!AA56</f>
        <v>Platte hoek, 49mm</v>
      </c>
      <c r="CE132">
        <f>Standaard!AC56</f>
        <v>4</v>
      </c>
      <c r="CG132" s="182">
        <f>CE132*CL46</f>
        <v>12</v>
      </c>
      <c r="CI132" s="136"/>
      <c r="CN132" s="132"/>
    </row>
    <row r="133" spans="1:92" x14ac:dyDescent="0.25">
      <c r="A133" s="1"/>
      <c r="C133" s="1"/>
      <c r="D133" s="1"/>
      <c r="E133" s="1"/>
      <c r="BD133" t="str">
        <f>Standaard!D57</f>
        <v>Grote balhoek</v>
      </c>
      <c r="BE133">
        <f>Standaard!F57</f>
        <v>8</v>
      </c>
      <c r="BG133" s="182">
        <f>N(BE133)*N(BM70)</f>
        <v>48</v>
      </c>
      <c r="BJ133" s="293">
        <f>N(BE133)*N(BN70)</f>
        <v>0</v>
      </c>
      <c r="BO133" s="132"/>
      <c r="BQ133" t="str">
        <f>Standaard!P57</f>
        <v>Grote balhoek R5</v>
      </c>
      <c r="BR133">
        <f>Standaard!R57</f>
        <v>8</v>
      </c>
      <c r="BT133" s="182">
        <f>N(BR133)*N(BZ70)</f>
        <v>64</v>
      </c>
      <c r="BV133" s="136">
        <f>N(BR133)*N(CA70)</f>
        <v>48</v>
      </c>
      <c r="BW133" s="136"/>
      <c r="CB133" s="132"/>
      <c r="CD133" t="str">
        <f>Standaard!AA57</f>
        <v>Platte hoek, Slam-lid</v>
      </c>
      <c r="CE133">
        <f>Standaard!AC57</f>
        <v>4</v>
      </c>
      <c r="CG133" s="182">
        <f>CE133*CL47</f>
        <v>8</v>
      </c>
      <c r="CI133" s="136"/>
      <c r="CN133" s="132"/>
    </row>
    <row r="134" spans="1:92" x14ac:dyDescent="0.25">
      <c r="A134" s="1"/>
      <c r="C134" s="1"/>
      <c r="D134" s="1"/>
      <c r="E134" s="1"/>
      <c r="BD134" t="str">
        <f>Standaard!D58</f>
        <v/>
      </c>
      <c r="BE134" t="str">
        <f>Standaard!F58</f>
        <v/>
      </c>
      <c r="BG134" s="182">
        <f>N(BE134)*N(BM71)</f>
        <v>0</v>
      </c>
      <c r="BH134" s="182"/>
      <c r="BI134" s="279"/>
      <c r="BJ134" s="293">
        <f>N(BE134)*N(BN71)</f>
        <v>0</v>
      </c>
      <c r="BO134" s="132"/>
      <c r="BQ134" t="str">
        <f>Standaard!P58</f>
        <v/>
      </c>
      <c r="BR134" t="str">
        <f>Standaard!R58</f>
        <v/>
      </c>
      <c r="BT134" s="236">
        <f>N(BR134)*N(BZ71)</f>
        <v>0</v>
      </c>
      <c r="BU134" s="182"/>
      <c r="BV134" s="136">
        <f>N(BR134)*N(CA71)</f>
        <v>0</v>
      </c>
      <c r="BW134" s="136"/>
      <c r="CB134" s="132"/>
      <c r="CG134" s="182"/>
      <c r="CH134" s="182"/>
      <c r="CI134" s="136"/>
      <c r="CN134" s="132"/>
    </row>
    <row r="135" spans="1:92" x14ac:dyDescent="0.25">
      <c r="A135" s="1"/>
      <c r="C135" s="1"/>
      <c r="D135" s="1"/>
      <c r="E135" s="1"/>
      <c r="BG135" s="182"/>
      <c r="BJ135" s="293"/>
      <c r="BO135" s="132"/>
      <c r="BT135" s="182"/>
      <c r="BV135" s="136"/>
      <c r="BW135" s="136"/>
      <c r="CB135" s="132"/>
      <c r="CD135" t="str">
        <f>CJ51</f>
        <v>Smal pianoscharnier, 1mm</v>
      </c>
      <c r="CE135">
        <v>1</v>
      </c>
      <c r="CI135" s="136">
        <f>CK121</f>
        <v>22</v>
      </c>
      <c r="CN135" s="132"/>
    </row>
    <row r="136" spans="1:92" x14ac:dyDescent="0.25">
      <c r="A136" s="1"/>
      <c r="C136" s="1"/>
      <c r="D136" s="1"/>
      <c r="E136" s="1"/>
      <c r="BD136" t="str">
        <f>Standaard!D62</f>
        <v>Middelgrote sluitingen (±10x10cm)</v>
      </c>
      <c r="BE136">
        <f>Standaard!F62</f>
        <v>2</v>
      </c>
      <c r="BG136" s="182">
        <f>BE136*BM52</f>
        <v>0</v>
      </c>
      <c r="BJ136" s="293">
        <f>BE136*BN52</f>
        <v>12</v>
      </c>
      <c r="BO136" s="132"/>
      <c r="BQ136" t="str">
        <f>Standaard!P62</f>
        <v>Grote sluitingen (±13x18cm)</v>
      </c>
      <c r="BR136">
        <f>Standaard!R62</f>
        <v>2</v>
      </c>
      <c r="BT136" s="182">
        <f>BR136*BZ52</f>
        <v>0</v>
      </c>
      <c r="BV136" s="136">
        <f>BR136*CA52</f>
        <v>20</v>
      </c>
      <c r="BW136" s="136"/>
      <c r="CB136" s="132"/>
      <c r="CG136" s="182"/>
      <c r="CI136" s="136"/>
      <c r="CN136" s="132"/>
    </row>
    <row r="137" spans="1:92" x14ac:dyDescent="0.25">
      <c r="A137" s="1"/>
      <c r="C137" s="1"/>
      <c r="D137" s="1"/>
      <c r="E137" s="1"/>
      <c r="BD137" t="str">
        <f>Standaard!D63 &amp; " (=sluiting)"</f>
        <v>Middelgrote scharnieren (=sluiting)</v>
      </c>
      <c r="BE137">
        <f>N(Standaard!F63)</f>
        <v>2</v>
      </c>
      <c r="BG137" s="182">
        <f>BE137*BM52</f>
        <v>0</v>
      </c>
      <c r="BJ137" s="293">
        <f>BE137*BN52</f>
        <v>12</v>
      </c>
      <c r="BO137" s="132"/>
      <c r="BQ137" t="str">
        <f>Standaard!P63 &amp; " (=sluiting)"</f>
        <v>Grote sluitingen (±13x18cm) (=sluiting)</v>
      </c>
      <c r="BR137">
        <f>N(Standaard!R63)</f>
        <v>2</v>
      </c>
      <c r="BT137" s="182">
        <f>BR137*BZ52</f>
        <v>0</v>
      </c>
      <c r="BV137" s="136">
        <f>BR137*CA52</f>
        <v>20</v>
      </c>
      <c r="BW137" s="136"/>
      <c r="CB137" s="132"/>
      <c r="CG137" s="182"/>
      <c r="CI137" s="136"/>
      <c r="CN137" s="132"/>
    </row>
    <row r="138" spans="1:92" x14ac:dyDescent="0.25">
      <c r="A138" s="1"/>
      <c r="C138" s="1"/>
      <c r="D138" s="1"/>
      <c r="E138" s="1"/>
      <c r="BG138" s="182"/>
      <c r="BJ138" s="293"/>
      <c r="BO138" s="132"/>
      <c r="BT138" s="182"/>
      <c r="BV138" s="136"/>
      <c r="BW138" s="136"/>
      <c r="CB138" s="132"/>
      <c r="CG138" s="182"/>
      <c r="CI138" s="136"/>
      <c r="CN138" s="132"/>
    </row>
    <row r="139" spans="1:92" x14ac:dyDescent="0.25">
      <c r="A139" s="1"/>
      <c r="C139" s="1"/>
      <c r="D139" s="1"/>
      <c r="E139" s="1"/>
      <c r="BD139" t="s">
        <v>149</v>
      </c>
      <c r="BG139" s="182">
        <f>SUM(BG127:BG137)</f>
        <v>128</v>
      </c>
      <c r="BH139" s="182"/>
      <c r="BI139" s="279"/>
      <c r="BJ139" s="293">
        <f>SUM(BJ127:BJ137)</f>
        <v>40</v>
      </c>
      <c r="BO139" s="132"/>
      <c r="BQ139" t="s">
        <v>149</v>
      </c>
      <c r="BT139" s="182">
        <f>SUM(BT127:BT137)</f>
        <v>144</v>
      </c>
      <c r="BU139" s="182"/>
      <c r="BV139" s="136">
        <f>SUM(BV127:BV137)</f>
        <v>104</v>
      </c>
      <c r="BW139" s="136"/>
      <c r="CB139" s="132"/>
      <c r="CD139" t="s">
        <v>149</v>
      </c>
      <c r="CG139" s="182">
        <f>SUM(CG127:CG137)</f>
        <v>68</v>
      </c>
      <c r="CH139" s="182"/>
      <c r="CI139" s="136"/>
      <c r="CN139" s="132"/>
    </row>
    <row r="140" spans="1:92" x14ac:dyDescent="0.25">
      <c r="A140" s="1"/>
      <c r="C140" s="1"/>
      <c r="D140" s="1"/>
      <c r="E140" s="1"/>
      <c r="BG140" s="182"/>
      <c r="BJ140" s="293"/>
      <c r="BO140" s="132"/>
      <c r="BT140" s="182"/>
      <c r="BV140" s="136"/>
      <c r="BW140" s="136"/>
      <c r="CB140" s="132"/>
      <c r="CG140" s="182"/>
      <c r="CI140" s="136"/>
      <c r="CN140" s="132"/>
    </row>
    <row r="141" spans="1:92" x14ac:dyDescent="0.25">
      <c r="BG141" s="182"/>
      <c r="BJ141" s="293"/>
      <c r="BO141" s="132"/>
      <c r="BT141" s="182"/>
      <c r="BV141" s="136"/>
      <c r="BW141" s="136"/>
      <c r="CB141" s="132"/>
      <c r="CG141" s="182"/>
      <c r="CI141" s="136"/>
      <c r="CN141" s="132"/>
    </row>
    <row r="142" spans="1:92" x14ac:dyDescent="0.25">
      <c r="BC142" s="42" t="s">
        <v>228</v>
      </c>
      <c r="BD142" s="42"/>
      <c r="BG142" s="182"/>
      <c r="BH142">
        <f>(F67*G67*I67+F68*G68*I68+F69*G69*I69+F70*G70*I70+F71*G71*I71)/1000000</f>
        <v>1.1328</v>
      </c>
      <c r="BJ142" s="293"/>
      <c r="BO142" s="132"/>
      <c r="BP142" s="42" t="s">
        <v>156</v>
      </c>
      <c r="BQ142" s="42"/>
      <c r="BT142" s="182"/>
      <c r="BV142" s="136"/>
      <c r="BW142" s="136"/>
      <c r="CB142" s="132"/>
      <c r="CC142" s="42" t="s">
        <v>228</v>
      </c>
      <c r="CD142" s="42"/>
      <c r="CH142">
        <f>(AC67*AD67*AF67+AC68*AD68*AF68+AC69*AD69*AF69)/1000000</f>
        <v>0.87239999999999995</v>
      </c>
      <c r="CI142" s="136"/>
      <c r="CN142" s="132"/>
    </row>
    <row r="143" spans="1:92" x14ac:dyDescent="0.25">
      <c r="BD143" t="s">
        <v>229</v>
      </c>
      <c r="BG143" s="182"/>
      <c r="BH143">
        <f>BH142/1.5</f>
        <v>0.75519999999999998</v>
      </c>
      <c r="BJ143" s="293"/>
      <c r="BO143" s="132"/>
      <c r="BT143" s="182"/>
      <c r="BV143" s="136"/>
      <c r="BW143" s="136"/>
      <c r="CB143" s="132"/>
      <c r="CD143" t="s">
        <v>229</v>
      </c>
      <c r="CH143">
        <f>CH142/1.5</f>
        <v>0.58160000000000001</v>
      </c>
      <c r="CI143" s="136"/>
      <c r="CN143" s="132"/>
    </row>
    <row r="144" spans="1:92" x14ac:dyDescent="0.25">
      <c r="BD144" t="s">
        <v>279</v>
      </c>
      <c r="BG144" s="182"/>
      <c r="BH144">
        <f>ROUNDUP(BH143-0.05,0)</f>
        <v>1</v>
      </c>
      <c r="BJ144" s="293"/>
      <c r="BO144" s="132"/>
      <c r="BT144" s="182"/>
      <c r="BV144" s="136"/>
      <c r="BW144" s="136"/>
      <c r="CB144" s="132"/>
      <c r="CD144" t="s">
        <v>279</v>
      </c>
      <c r="CH144">
        <f>ROUNDUP(CH143-0.05,0)</f>
        <v>1</v>
      </c>
      <c r="CI144" s="136"/>
      <c r="CN144" s="132"/>
    </row>
    <row r="145" spans="2:92" x14ac:dyDescent="0.25">
      <c r="C145" t="s">
        <v>26</v>
      </c>
      <c r="BG145" s="182"/>
      <c r="BJ145" s="293"/>
      <c r="BO145" s="132"/>
      <c r="BT145" s="182"/>
      <c r="BV145" s="136"/>
      <c r="BW145" s="136"/>
      <c r="CB145" s="132"/>
      <c r="CG145" s="182"/>
      <c r="CI145" s="136"/>
      <c r="CN145" s="132"/>
    </row>
    <row r="146" spans="2:92" x14ac:dyDescent="0.25">
      <c r="BG146" s="182"/>
      <c r="BO146" s="132"/>
      <c r="BT146" s="182"/>
      <c r="CB146" s="132"/>
      <c r="CG146" s="182"/>
      <c r="CN146" s="132"/>
    </row>
    <row r="147" spans="2:92" x14ac:dyDescent="0.25">
      <c r="C147" t="s">
        <v>14</v>
      </c>
      <c r="BO147" s="132"/>
      <c r="CB147" s="132"/>
      <c r="CN147" s="132"/>
    </row>
    <row r="148" spans="2:92" x14ac:dyDescent="0.25">
      <c r="B148"/>
      <c r="C148" t="s">
        <v>15</v>
      </c>
      <c r="BO148" s="132"/>
      <c r="CB148" s="132"/>
      <c r="CN148" s="132"/>
    </row>
    <row r="149" spans="2:92" x14ac:dyDescent="0.25">
      <c r="B149"/>
      <c r="BO149" s="132"/>
      <c r="CB149" s="132"/>
      <c r="CN149" s="132"/>
    </row>
    <row r="150" spans="2:92" x14ac:dyDescent="0.25">
      <c r="B150"/>
      <c r="C150" t="s">
        <v>16</v>
      </c>
      <c r="BO150" s="132"/>
      <c r="CB150" s="132"/>
      <c r="CN150" s="132"/>
    </row>
    <row r="151" spans="2:92" x14ac:dyDescent="0.25">
      <c r="B151"/>
      <c r="C151" t="s">
        <v>17</v>
      </c>
      <c r="BO151" s="132"/>
      <c r="CB151" s="132"/>
      <c r="CN151" s="132"/>
    </row>
    <row r="152" spans="2:92" x14ac:dyDescent="0.25">
      <c r="B152"/>
      <c r="BO152" s="132"/>
      <c r="CB152" s="132"/>
      <c r="CN152" s="132"/>
    </row>
    <row r="153" spans="2:92" x14ac:dyDescent="0.25">
      <c r="B153"/>
      <c r="BO153" s="132"/>
      <c r="CB153" s="132"/>
      <c r="CN153" s="132"/>
    </row>
    <row r="154" spans="2:92" x14ac:dyDescent="0.25">
      <c r="CB154" s="132"/>
      <c r="CN154" s="132"/>
    </row>
    <row r="155" spans="2:92" x14ac:dyDescent="0.25">
      <c r="CN155" s="132"/>
    </row>
    <row r="156" spans="2:92" x14ac:dyDescent="0.25">
      <c r="BC156" s="42" t="s">
        <v>156</v>
      </c>
      <c r="CN156" s="132"/>
    </row>
    <row r="157" spans="2:92" x14ac:dyDescent="0.25">
      <c r="CN157" s="132"/>
    </row>
  </sheetData>
  <sheetProtection selectLockedCells="1"/>
  <protectedRanges>
    <protectedRange password="EB22" sqref="J20:J22 AS34:AY36 AI41:AY41 AI46:AY46 L32:M33 K28:M30 AE19:AG19 H19:J19 H17:J17 V20:V22 AE17:AG17 T19:V19 T17:V17 AG20:AG22" name="Bereik1"/>
    <protectedRange password="EB22" sqref="C18:D19 F127:F128 Z18:Z19 P18 O18:O19 AA18 BB31" name="Bereik1_1"/>
    <protectedRange password="EB22" sqref="C74:C80" name="Bereik1_2"/>
    <protectedRange password="EB22" sqref="F24:I24 F22:I22 Q24:R24 Q22:U22 R23 R25 R27 R29 AB24:AC24 AB22:AF22 AC23 AC25 AC27 AC29" name="Bereik1_3"/>
    <protectedRange password="EB22" sqref="BG127:BG130 CG127:CG130 BT127:BT130" name="Bereik1_4"/>
    <protectedRange password="EB22" sqref="BC20 BD21:BD23 BE20:BF23 BC29:BC31 BP20 BQ21:BQ23 BR20:BS23 BP29:BP31 CC20 CD21:CD23 CE20:CF23 CC29:CC31 CC18:CD18 BP18:BQ18 BC18:BD18" name="Bereik1_1_1"/>
    <protectedRange password="EB22" sqref="BF93:BF94 BC126 BD127:BD130 BG95:BG96 BK95:BK96 BD93:BD94 BS93:BS94 BP126 BQ127:BQ130 BQ93:BQ94 CE119 CF92:CF93 CC126 CD127:CD130 CD92:CD93 BE120:BE122 CE121:CE123 BR120:BR122 BT95:BT99 BX95:BX99 CG94:CG99 CJ94:CJ99" name="Bereik1_2_1"/>
    <protectedRange password="EB22" sqref="I29" name="Bereik1_5"/>
    <protectedRange password="EB22" sqref="K57:K65 L34:L56 M48:M50 M57:M65" name="Bereik1_6"/>
    <protectedRange password="EB22" sqref="CU33 H44:H45 E51:H53 E67:E72 Q36:U40 D74:D80 H57:H59 E59:G59 W66 W71 G74:H80 I74:I75 AB63 AB67:AB71 E62:F63 I80 F80 G67:I72 S67:U72 E74:E77 T44:T45 Q51:R52 P72 T57:T59 P59:S59 S74:T80 U74:U75 U80 R80 Q44:S47 S51:T53 P53:R53 O74:O80 Q62:R63 Q67:Q71 AD67:AF72 Q74:Q77 AE44:AE45 AB51:AC52 AA72 AE57:AE59 AA59:AD59 AD74:AE80 AF74:AF75 AF80 AC80 AB44:AD47 AD51:AE53 AA53:AC53 Z74:Z80 DB33 AB36:AF39 AB62:AC62 AB56:AC57 AB74:AB77 I36 I38:I40 E44:F47 CY34 CV36 DA37 E36:H40 E56:F58 Q56:R58" name="Bereik1_2_3"/>
    <protectedRange password="EB22" sqref="K31:M31" name="Bereik1_7"/>
  </protectedRanges>
  <customSheetViews>
    <customSheetView guid="{1341C1BA-A516-4B24-9F86-4C451F91EE0F}" topLeftCell="BA92">
      <selection activeCell="BG112" sqref="BG112"/>
      <pageMargins left="0.7" right="0.7" top="0.75" bottom="0.75" header="0.3" footer="0.3"/>
      <pageSetup paperSize="9" orientation="portrait" r:id="rId1"/>
    </customSheetView>
  </customSheetViews>
  <mergeCells count="40">
    <mergeCell ref="AD54:AF54"/>
    <mergeCell ref="BG117:BJ117"/>
    <mergeCell ref="BT117:BV117"/>
    <mergeCell ref="CG117:CI117"/>
    <mergeCell ref="G60:I60"/>
    <mergeCell ref="S60:U60"/>
    <mergeCell ref="AD60:AF60"/>
    <mergeCell ref="D84:AE84"/>
    <mergeCell ref="D87:F87"/>
    <mergeCell ref="G87:AB89"/>
    <mergeCell ref="D29:E29"/>
    <mergeCell ref="G29:I29"/>
    <mergeCell ref="P29:Q29"/>
    <mergeCell ref="AA29:AB29"/>
    <mergeCell ref="G54:I54"/>
    <mergeCell ref="S54:U54"/>
    <mergeCell ref="G23:I23"/>
    <mergeCell ref="P23:Q23"/>
    <mergeCell ref="AA23:AB23"/>
    <mergeCell ref="F24:I24"/>
    <mergeCell ref="D27:E27"/>
    <mergeCell ref="G27:I27"/>
    <mergeCell ref="P27:Q27"/>
    <mergeCell ref="AA27:AB27"/>
    <mergeCell ref="CP40:CT40"/>
    <mergeCell ref="AI26:AR38"/>
    <mergeCell ref="AH8:AH10"/>
    <mergeCell ref="AB11:AC12"/>
    <mergeCell ref="G22:I22"/>
    <mergeCell ref="S22:U22"/>
    <mergeCell ref="AD22:AF22"/>
    <mergeCell ref="C31:I31"/>
    <mergeCell ref="O31:U31"/>
    <mergeCell ref="Z31:AF31"/>
    <mergeCell ref="D25:E25"/>
    <mergeCell ref="G25:I25"/>
    <mergeCell ref="P25:Q25"/>
    <mergeCell ref="AA25:AB25"/>
    <mergeCell ref="X5:X9"/>
    <mergeCell ref="D23:E23"/>
  </mergeCells>
  <conditionalFormatting sqref="P27:Q27">
    <cfRule type="expression" dxfId="12" priority="6">
      <formula>$BR$104</formula>
    </cfRule>
  </conditionalFormatting>
  <conditionalFormatting sqref="P29:Q29">
    <cfRule type="expression" dxfId="11" priority="7">
      <formula>$BR$108</formula>
    </cfRule>
  </conditionalFormatting>
  <conditionalFormatting sqref="CQ29:CQ35 CP34:CP39 CP29 CP23:DS27">
    <cfRule type="cellIs" dxfId="10" priority="4" operator="lessThan">
      <formula>0</formula>
    </cfRule>
  </conditionalFormatting>
  <conditionalFormatting sqref="CP32">
    <cfRule type="cellIs" dxfId="9" priority="2" operator="lessThan">
      <formula>0</formula>
    </cfRule>
  </conditionalFormatting>
  <conditionalFormatting sqref="CP33">
    <cfRule type="cellIs" dxfId="8" priority="1" operator="lessThan">
      <formula>0</formula>
    </cfRule>
  </conditionalFormatting>
  <dataValidations disablePrompts="1" count="3">
    <dataValidation type="list" allowBlank="1" showInputMessage="1" showErrorMessage="1" errorTitle="Dikte wordt niet ondersteund" error="Kies _x000a_1,5 mm voor standaard of_x000a_2,0 mm voor heavy duty" sqref="CE22:CF22 BF22 BS22">
      <mc:AlternateContent xmlns:x12ac="http://schemas.microsoft.com/office/spreadsheetml/2011/1/ac" xmlns:mc="http://schemas.openxmlformats.org/markup-compatibility/2006">
        <mc:Choice Requires="x12ac">
          <x12ac:list>"1,5",2</x12ac:list>
        </mc:Choice>
        <mc:Fallback>
          <formula1>"1,5,2"</formula1>
        </mc:Fallback>
      </mc:AlternateContent>
    </dataValidation>
    <dataValidation type="list" allowBlank="1" showInputMessage="1" showErrorMessage="1" errorTitle="breedte wordt niet ondersteund" error="Kies 20 of 30mm profiel" sqref="BE21:BF21 BR21:BS21 CE21:CF21">
      <formula1>"20,30"</formula1>
    </dataValidation>
    <dataValidation type="list" allowBlank="1" showInputMessage="1" showErrorMessage="1" errorTitle="Dikte wordt niet ondersteund" error="Kies één van onderstaande diktes:_x000a_  6,5 mm_x000a_  7  mm_x000a_  9  mm_x000a_10  mm" sqref="AB82 R32 F32 F82:F83 AB90:AB93 AC32 F90:F93 AZ86:AZ91 AG82 F85 F96 F98 F48 F73 R73 Q48:R48 AC73 AB48:AC48">
      <mc:AlternateContent xmlns:x12ac="http://schemas.microsoft.com/office/spreadsheetml/2011/1/ac" xmlns:mc="http://schemas.openxmlformats.org/markup-compatibility/2006">
        <mc:Choice Requires="x12ac">
          <x12ac:list>"6,5",7,9,10</x12ac:list>
        </mc:Choice>
        <mc:Fallback>
          <formula1>"6,5,7,9,10"</formula1>
        </mc:Fallback>
      </mc:AlternateContent>
    </dataValidation>
  </dataValidations>
  <hyperlinks>
    <hyperlink ref="CG49" r:id="rId2" display="http://www.zelfbouwcase.nl/gesorteerd-op-toepassing/slam-lid/sluitingen-en-scharnieren/2470-slam-lidsluiting.html"/>
    <hyperlink ref="CG42" r:id="rId3" display="http://www.zelfbouwcase.nl/gesorteerd-op-toepassing/standaard/plaatmateriaal/zwart-betonplex-9-mm.html"/>
    <hyperlink ref="CG51" r:id="rId4"/>
    <hyperlink ref="CG37" r:id="rId5" display="http://www.zelfbouwcase.nl/gesorteerd-op-toepassing/standaard/aluminium-profielen/0100-30-30-1-5mm-hoekprofiel.html"/>
    <hyperlink ref="CG47" r:id="rId6" display="http://www.zelfbouwcase.nl/gesorteerd-op-toepassing/heavy-duty/hoeken/c7079z-platte-hoek-met-r5-hoek.html"/>
    <hyperlink ref="CG46" r:id="rId7" display="http://www.zelfbouwcase.nl/gesorteerd-op-toepassing/slam-lid/hoeken/c0675z-platte-hoek-49mm.html"/>
    <hyperlink ref="CG34" r:id="rId8"/>
    <hyperlink ref="CG39" r:id="rId9"/>
    <hyperlink ref="BT65" r:id="rId10" display="http://www.zelfbouwcase.nl/gesorteerd-op-toepassing/heavy-duty/hoeken/c7079z-platte-hoek-met-r5-hoek.html"/>
    <hyperlink ref="BG64" r:id="rId11"/>
    <hyperlink ref="BT64" r:id="rId12" display="http://www.zelfbouwcase.nl/gesorteerd-op-toepassing/heavy-duty/hoeken/b1130z-overzethoek-met-r5-hoek.html"/>
    <hyperlink ref="BT66" r:id="rId13"/>
    <hyperlink ref="BT34" r:id="rId14"/>
    <hyperlink ref="BT37" r:id="rId15"/>
    <hyperlink ref="BT39" r:id="rId16"/>
    <hyperlink ref="BT51" r:id="rId17" display="http://www.zelfbouwcase.nl/gesorteerd-op-toepassing/con-pearl/sluitingen-en-scharnieren.html"/>
    <hyperlink ref="BT50:BT51" r:id="rId18" display="http://www.zelfbouwcase.nl/volledige-productgroepen/sluitingen-en-scharnieren/inbouwsluitingen.html"/>
    <hyperlink ref="BG94" r:id="rId19" display="http://www.zelfbouwcase.nl/volledige-productgroepen/bevestigingsmateriaal/popnagels.html"/>
    <hyperlink ref="BG93" r:id="rId20"/>
    <hyperlink ref="BG96" r:id="rId21"/>
    <hyperlink ref="BG66" r:id="rId22"/>
    <hyperlink ref="BG69" r:id="rId23"/>
    <hyperlink ref="BG67" r:id="rId24"/>
    <hyperlink ref="BG95" r:id="rId25"/>
    <hyperlink ref="BG75" r:id="rId26"/>
    <hyperlink ref="BG79" r:id="rId27"/>
    <hyperlink ref="BG78" r:id="rId28"/>
    <hyperlink ref="BG77" r:id="rId29"/>
    <hyperlink ref="BG76" r:id="rId30"/>
    <hyperlink ref="BG61" r:id="rId31" display="http://www.zelfbouwcase.nl/volledige-productgroepen/sluitingen-en-scharnieren/scharnieren.html"/>
    <hyperlink ref="BG33" r:id="rId32"/>
    <hyperlink ref="BG34" r:id="rId33"/>
    <hyperlink ref="BG37" r:id="rId34" display="http://www.zelfbouwcase.nl/gesorteerd-op-toepassing/standaard/aluminium-profielen/0100-30-30-1-5mm-hoekprofiel-gezaagd.html"/>
    <hyperlink ref="BG40" r:id="rId35" display="http://www.zelfbouwcase.nl/gesorteerd-op-toepassing/standaard/aluminium-profielen/0522-1-5mm-dik-sluitprofiel-10mm.html"/>
    <hyperlink ref="BG39" r:id="rId36" display="http://www.zelfbouwcase.nl/gesorteerd-op-toepassing/standaard/aluminium-profielen/0500-1-5mm-dik-sluitprofiel-9mm.html"/>
    <hyperlink ref="BG51" r:id="rId37" display="http://www.zelfbouwcase.nl/gesorteerd-op-toepassing/con-pearl/sluitingen-en-scharnieren.html"/>
    <hyperlink ref="BG50:BG51" r:id="rId38" display="http://www.zelfbouwcase.nl/volledige-productgroepen/sluitingen-en-scharnieren/inbouwsluitingen.html"/>
    <hyperlink ref="BG43" r:id="rId39"/>
    <hyperlink ref="BG44" r:id="rId40" display="http://www.zelfbouwcase.nl/gesorteerd-op-toepassing/standaard/plaatmateriaal/zwart-betonplex-9-mm.html"/>
    <hyperlink ref="BG50" r:id="rId41"/>
    <hyperlink ref="BT94" r:id="rId42"/>
    <hyperlink ref="BT93" r:id="rId43"/>
    <hyperlink ref="CG93" r:id="rId44"/>
    <hyperlink ref="CG92" r:id="rId45"/>
    <hyperlink ref="BT95" r:id="rId46"/>
    <hyperlink ref="CG94" r:id="rId47"/>
    <hyperlink ref="BG97" r:id="rId48"/>
    <hyperlink ref="BG68" r:id="rId49"/>
    <hyperlink ref="BT61" r:id="rId50" display="http://www.zelfbouwcase.nl/volledige-productgroepen/sluitingen-en-scharnieren/scharnieren.html"/>
    <hyperlink ref="CG54" r:id="rId51"/>
    <hyperlink ref="CG52" r:id="rId52"/>
  </hyperlinks>
  <pageMargins left="0.7" right="0.7" top="0.75" bottom="0.75" header="0.3" footer="0.3"/>
  <pageSetup paperSize="9" orientation="portrait" r:id="rId53"/>
  <ignoredErrors>
    <ignoredError sqref="U39" formula="1"/>
  </ignoredErrors>
  <drawing r:id="rId5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Z41"/>
  <sheetViews>
    <sheetView showGridLines="0" topLeftCell="A13" zoomScale="148" zoomScaleNormal="148" workbookViewId="0">
      <selection activeCell="BX60" sqref="BX60"/>
    </sheetView>
  </sheetViews>
  <sheetFormatPr defaultRowHeight="15" x14ac:dyDescent="0.25"/>
  <cols>
    <col min="2" max="2" width="6" customWidth="1"/>
    <col min="3" max="3" width="4.7109375" customWidth="1"/>
    <col min="4" max="4" width="1.28515625" customWidth="1"/>
    <col min="5" max="5" width="4" customWidth="1"/>
    <col min="6" max="6" width="3.7109375" customWidth="1"/>
    <col min="7" max="7" width="10.28515625" customWidth="1"/>
    <col min="8" max="9" width="5.7109375" customWidth="1"/>
    <col min="10" max="10" width="6" customWidth="1"/>
    <col min="11" max="11" width="4.7109375" customWidth="1"/>
    <col min="12" max="12" width="1.28515625" customWidth="1"/>
    <col min="13" max="13" width="4" customWidth="1"/>
    <col min="14" max="14" width="3.7109375" customWidth="1"/>
    <col min="15" max="15" width="10.28515625" customWidth="1"/>
    <col min="16" max="16" width="5.7109375" customWidth="1"/>
    <col min="17" max="17" width="5.28515625" customWidth="1"/>
    <col min="18" max="18" width="6.28515625" customWidth="1"/>
    <col min="19" max="20" width="1.28515625" customWidth="1"/>
    <col min="21" max="21" width="4" customWidth="1"/>
    <col min="22" max="22" width="1.28515625" customWidth="1"/>
    <col min="23" max="23" width="2.28515625" customWidth="1"/>
    <col min="24" max="24" width="11" customWidth="1"/>
    <col min="26" max="26" width="94.7109375" customWidth="1"/>
  </cols>
  <sheetData>
    <row r="1" spans="2:24" ht="15.75" thickBot="1" x14ac:dyDescent="0.3">
      <c r="E1" s="1"/>
      <c r="F1" s="1"/>
      <c r="M1" s="1"/>
      <c r="N1" s="1"/>
      <c r="U1" s="1"/>
      <c r="V1" s="1"/>
      <c r="W1" s="1"/>
    </row>
    <row r="2" spans="2:24" ht="9.6" customHeight="1" thickBot="1" x14ac:dyDescent="0.3">
      <c r="B2" s="210"/>
      <c r="C2" s="430" t="str">
        <f>"deksel
hoogte "&amp;TEXT(Standaard!S9,"####")</f>
        <v>deksel
hoogte 80</v>
      </c>
      <c r="D2" s="391" t="str">
        <f>"profiel "&amp;TEXT(Formules!BE22,"#,#")</f>
        <v>profiel 1,5</v>
      </c>
      <c r="E2" s="418"/>
      <c r="F2" s="438"/>
      <c r="G2" s="203"/>
      <c r="J2" s="211"/>
      <c r="K2" s="430" t="str">
        <f>"deksel
hoogte "&amp;TEXT(Standaard!S9,"####")</f>
        <v>deksel
hoogte 80</v>
      </c>
      <c r="L2" s="391" t="str">
        <f>"profiel "&amp;TEXT(Formules!BR22,"#,0")</f>
        <v>profiel 2,0</v>
      </c>
      <c r="M2" s="440"/>
      <c r="N2" s="441"/>
      <c r="O2" s="212"/>
    </row>
    <row r="3" spans="2:24" ht="16.5" customHeight="1" thickBot="1" x14ac:dyDescent="0.3">
      <c r="C3" s="431"/>
      <c r="D3" s="197"/>
      <c r="E3" s="434" t="str">
        <f>"plaatdikte "&amp;TEXT(Formules!BE46,"###")</f>
        <v>plaatdikte 10</v>
      </c>
      <c r="F3" s="402"/>
      <c r="G3" s="435"/>
      <c r="J3" s="213"/>
      <c r="K3" s="431"/>
      <c r="L3" s="214"/>
      <c r="M3" s="413" t="str">
        <f>"plaatdikte "&amp;TEXT(Formules!BR42,"###")</f>
        <v>plaatdikte 10</v>
      </c>
      <c r="N3" s="435"/>
      <c r="O3" s="442"/>
    </row>
    <row r="4" spans="2:24" ht="17.25" customHeight="1" thickBot="1" x14ac:dyDescent="0.3">
      <c r="C4" s="431"/>
      <c r="D4" s="196"/>
      <c r="E4" s="422" t="str">
        <f>"dekselplaat "&amp;TEXT(Formules!DB33,"####")</f>
        <v>dekselplaat 63</v>
      </c>
      <c r="F4" s="400" t="str">
        <f>IF(Formules!BE80&lt;&gt;0,"schuim "&amp;TEXT(N(Standaard!S10),"#0"),"geen schuim")</f>
        <v>schuim 10</v>
      </c>
      <c r="G4" s="427"/>
      <c r="J4" s="213"/>
      <c r="K4" s="431"/>
      <c r="L4" s="215"/>
      <c r="M4" s="422" t="str">
        <f>"dekselplaat "&amp;TEXT(Formules!U37,"####")</f>
        <v>dekselplaat 62</v>
      </c>
      <c r="N4" s="400" t="str">
        <f>IF(Formules!BE80&lt;&gt;0,"schuim "&amp;TEXT(N(Standaard!S10),"#0"),"geen schuim")</f>
        <v>schuim 10</v>
      </c>
      <c r="O4" s="427"/>
    </row>
    <row r="5" spans="2:24" ht="60" customHeight="1" thickBot="1" x14ac:dyDescent="0.3">
      <c r="B5" s="403" t="str">
        <f>"Buitenmaat excl. hoeken " &amp; TEXT(Formules!BH28,"#")</f>
        <v>Buitenmaat excl. hoeken 343</v>
      </c>
      <c r="C5" s="432"/>
      <c r="D5" s="14"/>
      <c r="E5" s="423"/>
      <c r="F5" s="436" t="str">
        <f>IF(N(Formules!S10)&lt;&gt;0,"Schuim  "&amp;TEXT(Standaard!I69,"####"),"geen schuim")</f>
        <v>Schuim  59</v>
      </c>
      <c r="G5" s="409" t="str">
        <f>"binnen 
hoogte "&amp;TEXT(Standaard!S8,"####")</f>
        <v>binnen 
hoogte 300</v>
      </c>
      <c r="J5" s="403" t="str">
        <f>"Buitenmaat excl. hoeken " &amp; TEXT(Formules!BU28,"#")</f>
        <v>Buitenmaat excl. hoeken 344</v>
      </c>
      <c r="K5" s="432"/>
      <c r="L5" s="216"/>
      <c r="M5" s="443"/>
      <c r="N5" s="436" t="str">
        <f>IF(N(Formules!S10)&lt;&gt;0,"Schuim  "&amp;TEXT(Standaard!U69,"####"),"geen schuim")</f>
        <v>Schuim  58</v>
      </c>
      <c r="O5" s="409" t="str">
        <f>"binnen 
hoogte "&amp;TEXT(Standaard!S8,"####")</f>
        <v>binnen 
hoogte 300</v>
      </c>
    </row>
    <row r="6" spans="2:24" ht="15.75" thickBot="1" x14ac:dyDescent="0.3">
      <c r="B6" s="403"/>
      <c r="C6" s="433"/>
      <c r="D6" s="201"/>
      <c r="E6" s="193" t="str">
        <f>"fpl "&amp;TEXT(Formules!BE26,"##")</f>
        <v>fpl 6</v>
      </c>
      <c r="F6" s="437"/>
      <c r="G6" s="410"/>
      <c r="J6" s="403"/>
      <c r="K6" s="439"/>
      <c r="L6" s="217"/>
      <c r="M6" s="193" t="str">
        <f>"fpl "&amp;TEXT(Formules!BR26,"##")</f>
        <v>fpl 6</v>
      </c>
      <c r="N6" s="437"/>
      <c r="O6" s="410"/>
    </row>
    <row r="7" spans="2:24" ht="14.25" customHeight="1" thickBot="1" x14ac:dyDescent="0.3">
      <c r="B7" s="403"/>
      <c r="C7" s="424" t="str">
        <f>"bodem
hoogte "&amp;TEXT(Formules!BH28-Formules!BH29,"####")</f>
        <v>bodem
hoogte 263</v>
      </c>
      <c r="D7" s="202"/>
      <c r="E7" s="194" t="str">
        <f>"mpl "&amp;TEXT(Formules!BE27,"##")</f>
        <v>mpl 2</v>
      </c>
      <c r="F7" s="428" t="str">
        <f>IF(N(Formules!S10)&lt;&gt;0,"Schuim  "&amp;TEXT(Standaard!I71,"####"),"geen schuim")</f>
        <v>Schuim  241</v>
      </c>
      <c r="G7" s="410"/>
      <c r="J7" s="403"/>
      <c r="K7" s="424" t="str">
        <f>"bodem
hoogte "&amp;TEXT(Formules!BU28-Formules!BU29,"####")</f>
        <v>bodem
hoogte 264</v>
      </c>
      <c r="L7" s="218"/>
      <c r="M7" s="194" t="str">
        <f>"mpl "&amp;TEXT(Formules!BR27,"##")</f>
        <v>mpl 2</v>
      </c>
      <c r="N7" s="428" t="str">
        <f>IF(N(Formules!S10)&lt;&gt;0,"Schuim  "&amp;TEXT(Standaard!U71,"####"),"geen schuim")</f>
        <v>Schuim  242</v>
      </c>
      <c r="O7" s="410"/>
    </row>
    <row r="8" spans="2:24" ht="60" customHeight="1" thickBot="1" x14ac:dyDescent="0.3">
      <c r="B8" s="403"/>
      <c r="C8" s="411"/>
      <c r="D8" s="14"/>
      <c r="E8" s="420" t="str">
        <f>"bodemplaat "&amp;TEXT(Formules!I39,"####")</f>
        <v>bodemplaat 249</v>
      </c>
      <c r="F8" s="429"/>
      <c r="G8" s="410"/>
      <c r="J8" s="403"/>
      <c r="K8" s="411"/>
      <c r="L8" s="216"/>
      <c r="M8" s="384" t="str">
        <f>"bodemplaat "&amp;TEXT(Formules!U39,"####")</f>
        <v>bodemplaat 250</v>
      </c>
      <c r="N8" s="429"/>
      <c r="O8" s="410"/>
    </row>
    <row r="9" spans="2:24" ht="18" customHeight="1" thickBot="1" x14ac:dyDescent="0.3">
      <c r="C9" s="411"/>
      <c r="D9" s="195"/>
      <c r="E9" s="421"/>
      <c r="F9" s="400" t="str">
        <f>IF(N(Formules!S10)&lt;&gt;0,"schuim "&amp;TEXT(N(Standaard!S10),"#0"),"geen schuim")</f>
        <v>schuim 10</v>
      </c>
      <c r="G9" s="427"/>
      <c r="J9" s="213"/>
      <c r="K9" s="411"/>
      <c r="L9" s="219"/>
      <c r="M9" s="421"/>
      <c r="N9" s="400" t="str">
        <f>IF(N(Formules!S10)&lt;&gt;0,"schuim "&amp;TEXT(N(Standaard!S10),"#0"),"geen schuim")</f>
        <v>schuim 10</v>
      </c>
      <c r="O9" s="427"/>
    </row>
    <row r="10" spans="2:24" ht="16.5" customHeight="1" thickBot="1" x14ac:dyDescent="0.3">
      <c r="C10" s="411"/>
      <c r="D10" s="197"/>
      <c r="E10" s="413" t="str">
        <f>"plaatdikte "&amp;TEXT(Formules!BE46,"###")</f>
        <v>plaatdikte 10</v>
      </c>
      <c r="F10" s="425"/>
      <c r="G10" s="426"/>
      <c r="J10" s="213"/>
      <c r="K10" s="411"/>
      <c r="L10" s="222"/>
      <c r="M10" s="413" t="str">
        <f>"plaatdikte "&amp;TEXT(Formules!BR42,"###")</f>
        <v>plaatdikte 10</v>
      </c>
      <c r="N10" s="435"/>
      <c r="O10" s="442"/>
    </row>
    <row r="11" spans="2:24" ht="9.6" customHeight="1" thickBot="1" x14ac:dyDescent="0.3">
      <c r="B11" s="209"/>
      <c r="C11" s="412"/>
      <c r="D11" s="417" t="str">
        <f>"profiel "&amp;TEXT(Formules!BE22,"#,#")</f>
        <v>profiel 1,5</v>
      </c>
      <c r="E11" s="418"/>
      <c r="F11" s="419"/>
      <c r="G11" s="192"/>
      <c r="J11" s="220"/>
      <c r="K11" s="412"/>
      <c r="L11" s="417" t="str">
        <f>"profiel "&amp;TEXT(Formules!BR22,"#,0")</f>
        <v>profiel 2,0</v>
      </c>
      <c r="M11" s="444"/>
      <c r="N11" s="445"/>
      <c r="O11" s="223"/>
    </row>
    <row r="13" spans="2:24" ht="15.75" thickBot="1" x14ac:dyDescent="0.3"/>
    <row r="14" spans="2:24" ht="3" customHeight="1" thickBot="1" x14ac:dyDescent="0.3">
      <c r="R14" s="210"/>
      <c r="S14" s="224"/>
      <c r="T14" s="391" t="s">
        <v>232</v>
      </c>
      <c r="U14" s="392"/>
      <c r="V14" s="393"/>
    </row>
    <row r="15" spans="2:24" ht="5.25" customHeight="1" thickBot="1" x14ac:dyDescent="0.3">
      <c r="R15" s="1"/>
      <c r="S15" s="404"/>
      <c r="T15" s="394"/>
      <c r="U15" s="395"/>
      <c r="V15" s="396"/>
      <c r="W15" s="387" t="str">
        <f xml:space="preserve"> "plaatdikte 9mm"</f>
        <v>plaatdikte 9mm</v>
      </c>
      <c r="X15" s="388"/>
    </row>
    <row r="16" spans="2:24" ht="10.5" customHeight="1" thickBot="1" x14ac:dyDescent="0.3">
      <c r="R16" s="1"/>
      <c r="S16" s="405"/>
      <c r="T16" s="197"/>
      <c r="U16" s="384" t="str">
        <f>"Plaat "&amp;TEXT(Formules!AF38,"####")</f>
        <v>Plaat 319</v>
      </c>
      <c r="V16" s="225"/>
      <c r="W16" s="389"/>
      <c r="X16" s="390"/>
    </row>
    <row r="17" spans="18:26" ht="7.5" customHeight="1" thickTop="1" thickBot="1" x14ac:dyDescent="0.3">
      <c r="R17" s="1"/>
      <c r="S17" s="405"/>
      <c r="T17" s="197"/>
      <c r="U17" s="385"/>
      <c r="V17" s="226"/>
      <c r="W17" s="227"/>
    </row>
    <row r="18" spans="18:26" ht="12" customHeight="1" thickTop="1" thickBot="1" x14ac:dyDescent="0.3">
      <c r="R18" s="408" t="str">
        <f>"Buitenmaat excl. hoeken " &amp; TEXT(Formules!CH28,"#")</f>
        <v>Buitenmaat excl. hoeken 341</v>
      </c>
      <c r="S18" s="406"/>
      <c r="T18" s="197"/>
      <c r="U18" s="385"/>
      <c r="V18" s="196"/>
      <c r="W18" s="228"/>
      <c r="X18" s="409" t="str">
        <f>"binnen 
hoogte "&amp;TEXT(Standaard!S8,"####")</f>
        <v>binnen 
hoogte 300</v>
      </c>
    </row>
    <row r="19" spans="18:26" ht="25.5" customHeight="1" thickBot="1" x14ac:dyDescent="0.3">
      <c r="R19" s="408"/>
      <c r="S19" s="407"/>
      <c r="T19" s="196"/>
      <c r="U19" s="385"/>
      <c r="V19" s="397" t="str">
        <f>IF(N(Formules!S10)&lt;&gt;0,"Schuim  "&amp;TEXT(Standaard!AF69,"####"),"geen schuim")</f>
        <v>Schuim  300</v>
      </c>
      <c r="W19" s="398"/>
      <c r="X19" s="410"/>
    </row>
    <row r="20" spans="18:26" ht="36" customHeight="1" x14ac:dyDescent="0.25">
      <c r="R20" s="408"/>
      <c r="S20" s="411"/>
      <c r="T20" s="202"/>
      <c r="U20" s="385"/>
      <c r="V20" s="399"/>
      <c r="W20" s="398"/>
      <c r="X20" s="410"/>
    </row>
    <row r="21" spans="18:26" ht="87.75" customHeight="1" thickBot="1" x14ac:dyDescent="0.3">
      <c r="R21" s="408"/>
      <c r="S21" s="411"/>
      <c r="T21" s="14"/>
      <c r="U21" s="385"/>
      <c r="V21" s="399"/>
      <c r="W21" s="398"/>
      <c r="X21" s="410"/>
    </row>
    <row r="22" spans="18:26" ht="21.75" customHeight="1" thickBot="1" x14ac:dyDescent="0.3">
      <c r="R22" s="1"/>
      <c r="S22" s="411"/>
      <c r="T22" s="195"/>
      <c r="U22" s="386"/>
      <c r="V22" s="400" t="str">
        <f>IF(N(Formules!S10)&lt;&gt;0,"schuim "&amp;TEXT(N(Standaard!S10),"#0"),"geen schuim")</f>
        <v>schuim 10</v>
      </c>
      <c r="W22" s="401"/>
      <c r="X22" s="402"/>
      <c r="Y22" s="1"/>
    </row>
    <row r="23" spans="18:26" ht="15.75" thickBot="1" x14ac:dyDescent="0.3">
      <c r="R23" s="1"/>
      <c r="S23" s="411"/>
      <c r="T23" s="197"/>
      <c r="U23" s="413" t="str">
        <f>"plaatdikte 9"</f>
        <v>plaatdikte 9</v>
      </c>
      <c r="V23" s="414"/>
      <c r="W23" s="415"/>
      <c r="X23" s="416"/>
    </row>
    <row r="24" spans="18:26" ht="8.25" customHeight="1" thickBot="1" x14ac:dyDescent="0.3">
      <c r="R24" s="209"/>
      <c r="S24" s="412"/>
      <c r="T24" s="417" t="s">
        <v>232</v>
      </c>
      <c r="U24" s="418"/>
      <c r="V24" s="418"/>
      <c r="W24" s="419"/>
      <c r="X24" s="192"/>
    </row>
    <row r="28" spans="18:26" x14ac:dyDescent="0.25">
      <c r="Z28" s="33" t="s">
        <v>177</v>
      </c>
    </row>
    <row r="29" spans="18:26" x14ac:dyDescent="0.25">
      <c r="Z29" s="33" t="s">
        <v>178</v>
      </c>
    </row>
    <row r="30" spans="18:26" x14ac:dyDescent="0.25">
      <c r="Z30" s="33" t="s">
        <v>179</v>
      </c>
    </row>
    <row r="31" spans="18:26" x14ac:dyDescent="0.25">
      <c r="Z31" s="33"/>
    </row>
    <row r="32" spans="18:26" x14ac:dyDescent="0.25">
      <c r="Z32" s="33" t="s">
        <v>180</v>
      </c>
    </row>
    <row r="33" spans="26:26" x14ac:dyDescent="0.25">
      <c r="Z33" s="33" t="s">
        <v>186</v>
      </c>
    </row>
    <row r="34" spans="26:26" x14ac:dyDescent="0.25">
      <c r="Z34" s="33" t="s">
        <v>185</v>
      </c>
    </row>
    <row r="35" spans="26:26" ht="30" x14ac:dyDescent="0.25">
      <c r="Z35" s="33" t="s">
        <v>184</v>
      </c>
    </row>
    <row r="36" spans="26:26" x14ac:dyDescent="0.25">
      <c r="Z36" s="33" t="s">
        <v>187</v>
      </c>
    </row>
    <row r="37" spans="26:26" x14ac:dyDescent="0.25">
      <c r="Z37" s="33"/>
    </row>
    <row r="38" spans="26:26" x14ac:dyDescent="0.25">
      <c r="Z38" s="33"/>
    </row>
    <row r="39" spans="26:26" x14ac:dyDescent="0.25">
      <c r="Z39" s="33" t="s">
        <v>181</v>
      </c>
    </row>
    <row r="40" spans="26:26" x14ac:dyDescent="0.25">
      <c r="Z40" s="33" t="s">
        <v>182</v>
      </c>
    </row>
    <row r="41" spans="26:26" x14ac:dyDescent="0.25">
      <c r="Z41" s="33" t="s">
        <v>183</v>
      </c>
    </row>
  </sheetData>
  <customSheetViews>
    <customSheetView guid="{1341C1BA-A516-4B24-9F86-4C451F91EE0F}" scale="120" showGridLines="0">
      <selection activeCell="K18" sqref="K18"/>
      <pageMargins left="0.7" right="0.7" top="0.75" bottom="0.75" header="0.3" footer="0.3"/>
      <pageSetup paperSize="9" orientation="portrait" r:id="rId1"/>
    </customSheetView>
  </customSheetViews>
  <mergeCells count="39">
    <mergeCell ref="K2:K6"/>
    <mergeCell ref="L2:N2"/>
    <mergeCell ref="M3:O3"/>
    <mergeCell ref="M4:M5"/>
    <mergeCell ref="N4:O4"/>
    <mergeCell ref="N5:N6"/>
    <mergeCell ref="O5:O8"/>
    <mergeCell ref="K7:K11"/>
    <mergeCell ref="N7:N8"/>
    <mergeCell ref="M8:M9"/>
    <mergeCell ref="N9:O9"/>
    <mergeCell ref="M10:O10"/>
    <mergeCell ref="L11:N11"/>
    <mergeCell ref="C2:C6"/>
    <mergeCell ref="F4:G4"/>
    <mergeCell ref="E3:G3"/>
    <mergeCell ref="F5:F6"/>
    <mergeCell ref="D2:F2"/>
    <mergeCell ref="J5:J8"/>
    <mergeCell ref="B5:B8"/>
    <mergeCell ref="S15:S19"/>
    <mergeCell ref="R18:R21"/>
    <mergeCell ref="X18:X21"/>
    <mergeCell ref="S20:S24"/>
    <mergeCell ref="U23:X23"/>
    <mergeCell ref="T24:W24"/>
    <mergeCell ref="E8:E9"/>
    <mergeCell ref="E4:E5"/>
    <mergeCell ref="G5:G8"/>
    <mergeCell ref="C7:C11"/>
    <mergeCell ref="E10:G10"/>
    <mergeCell ref="F9:G9"/>
    <mergeCell ref="F7:F8"/>
    <mergeCell ref="D11:F11"/>
    <mergeCell ref="U16:U22"/>
    <mergeCell ref="W15:X16"/>
    <mergeCell ref="T14:V15"/>
    <mergeCell ref="V19:W21"/>
    <mergeCell ref="V22:X22"/>
  </mergeCell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16" id="{ECD630AF-2D80-4EF9-8FC1-3F749F78ADFB}">
            <xm:f>Formules!$BE$80=0</xm:f>
            <x14:dxf>
              <font>
                <color rgb="FFE3C4A8"/>
              </font>
              <fill>
                <patternFill patternType="none">
                  <bgColor auto="1"/>
                </patternFill>
              </fill>
              <border>
                <right/>
                <bottom/>
              </border>
            </x14:dxf>
          </x14:cfRule>
          <xm:sqref>G4 F4:F8 W18</xm:sqref>
        </x14:conditionalFormatting>
        <x14:conditionalFormatting xmlns:xm="http://schemas.microsoft.com/office/excel/2006/main">
          <x14:cfRule type="expression" priority="15" id="{8A92B0C4-B517-43F2-93E7-B3CFA63124CA}">
            <xm:f>Formules!$BE$80=0</xm:f>
            <x14:dxf>
              <font>
                <color rgb="FFE3C4A8"/>
              </font>
              <fill>
                <patternFill patternType="none">
                  <bgColor auto="1"/>
                </patternFill>
              </fill>
              <border>
                <right/>
                <top/>
                <vertical/>
                <horizontal/>
              </border>
            </x14:dxf>
          </x14:cfRule>
          <xm:sqref>F9:G9</xm:sqref>
        </x14:conditionalFormatting>
        <x14:conditionalFormatting xmlns:xm="http://schemas.microsoft.com/office/excel/2006/main">
          <x14:cfRule type="expression" priority="7" id="{FDF7F92A-AEF5-4A0F-8F9D-A0DCAC95749A}">
            <xm:f>Formules!$BE$80=0</xm:f>
            <x14:dxf>
              <font>
                <color rgb="FFE3C4A8"/>
              </font>
              <fill>
                <patternFill patternType="none">
                  <bgColor auto="1"/>
                </patternFill>
              </fill>
              <border>
                <right/>
                <bottom/>
              </border>
            </x14:dxf>
          </x14:cfRule>
          <xm:sqref>N4:O4</xm:sqref>
        </x14:conditionalFormatting>
        <x14:conditionalFormatting xmlns:xm="http://schemas.microsoft.com/office/excel/2006/main">
          <x14:cfRule type="expression" priority="12" id="{D7D33E4F-3799-4B8F-A387-629833387260}">
            <xm:f>Formules!$BE$80=0</xm:f>
            <x14:dxf>
              <font>
                <color rgb="FFE3C4A8"/>
              </font>
              <fill>
                <patternFill patternType="none">
                  <bgColor auto="1"/>
                </patternFill>
              </fill>
              <border>
                <right/>
                <bottom/>
              </border>
            </x14:dxf>
          </x14:cfRule>
          <xm:sqref>V19</xm:sqref>
        </x14:conditionalFormatting>
        <x14:conditionalFormatting xmlns:xm="http://schemas.microsoft.com/office/excel/2006/main">
          <x14:cfRule type="expression" priority="9" id="{8AA38889-7F67-4689-B9BE-23FFBD3E56CA}">
            <xm:f>Formules!$BE$80=0</xm:f>
            <x14:dxf>
              <font>
                <color rgb="FFE3C4A8"/>
              </font>
              <fill>
                <patternFill patternType="none">
                  <bgColor auto="1"/>
                </patternFill>
              </fill>
              <border>
                <right/>
                <top/>
                <bottom/>
                <vertical/>
                <horizontal/>
              </border>
            </x14:dxf>
          </x14:cfRule>
          <xm:sqref>N5:N8</xm:sqref>
        </x14:conditionalFormatting>
        <x14:conditionalFormatting xmlns:xm="http://schemas.microsoft.com/office/excel/2006/main">
          <x14:cfRule type="expression" priority="6" id="{1A151D13-E095-41B3-B8F1-46CFF7A81097}">
            <xm:f>Formules!BE80=0</xm:f>
            <x14:dxf>
              <font>
                <color rgb="FFE3C4A8"/>
              </font>
              <fill>
                <patternFill patternType="none">
                  <bgColor auto="1"/>
                </patternFill>
              </fill>
              <border>
                <right/>
                <top/>
                <vertical/>
                <horizontal/>
              </border>
            </x14:dxf>
          </x14:cfRule>
          <xm:sqref>N9:O9</xm:sqref>
        </x14:conditionalFormatting>
        <x14:conditionalFormatting xmlns:xm="http://schemas.microsoft.com/office/excel/2006/main">
          <x14:cfRule type="expression" priority="2" id="{34CAECDF-00BF-4F8D-8DAA-DA45F2EAB927}">
            <xm:f>Formules!BE80=0</xm:f>
            <x14:dxf>
              <font>
                <color rgb="FFE3C4A8"/>
              </font>
              <fill>
                <patternFill patternType="none">
                  <bgColor auto="1"/>
                </patternFill>
              </fill>
              <border>
                <right/>
                <top/>
                <vertical/>
                <horizontal/>
              </border>
            </x14:dxf>
          </x14:cfRule>
          <xm:sqref>V22:W22</xm:sqref>
        </x14:conditionalFormatting>
        <x14:conditionalFormatting xmlns:xm="http://schemas.microsoft.com/office/excel/2006/main">
          <x14:cfRule type="expression" priority="1" id="{1BE6B882-50B7-479A-892F-3032CF5E47A0}">
            <xm:f>Formules!BE80&lt;&gt;0</xm:f>
            <x14:dxf>
              <border>
                <right style="thin">
                  <color auto="1"/>
                </right>
                <top style="thin">
                  <color auto="1"/>
                </top>
                <vertical/>
                <horizontal/>
              </border>
            </x14:dxf>
          </x14:cfRule>
          <xm:sqref>V22:X22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8</vt:i4>
      </vt:variant>
    </vt:vector>
  </HeadingPairs>
  <TitlesOfParts>
    <vt:vector size="11" baseType="lpstr">
      <vt:lpstr>Standaard</vt:lpstr>
      <vt:lpstr>Formules</vt:lpstr>
      <vt:lpstr>Tekening</vt:lpstr>
      <vt:lpstr>KeuzeHoekHeavyDuty</vt:lpstr>
      <vt:lpstr>KeuzeHoekStandaard</vt:lpstr>
      <vt:lpstr>KeuzePlaatmateriaal</vt:lpstr>
      <vt:lpstr>KeuzeSluitingHeavyDuty</vt:lpstr>
      <vt:lpstr>KeuzeSluitingStandaard</vt:lpstr>
      <vt:lpstr>MaximaleDekselhoogte</vt:lpstr>
      <vt:lpstr>MinimaleDekselhoogte</vt:lpstr>
      <vt:lpstr>SoortDeksel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van Raalte</dc:creator>
  <cp:lastModifiedBy>M-case</cp:lastModifiedBy>
  <dcterms:created xsi:type="dcterms:W3CDTF">2015-01-07T21:11:19Z</dcterms:created>
  <dcterms:modified xsi:type="dcterms:W3CDTF">2017-10-20T11:47:03Z</dcterms:modified>
</cp:coreProperties>
</file>